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krfi-my.sharepoint.com/personal/tuukka_tahvanainen_tkr_fi/Documents/Tiedostot/TKR/Ohjeet/"/>
    </mc:Choice>
  </mc:AlternateContent>
  <xr:revisionPtr revIDLastSave="45" documentId="8_{FB514BF0-0A3D-4578-A41C-B563EE1279BC}" xr6:coauthVersionLast="47" xr6:coauthVersionMax="47" xr10:uidLastSave="{5A7CCB54-B0F3-483B-A45F-C4376E195CB7}"/>
  <bookViews>
    <workbookView xWindow="-26835" yWindow="-3255" windowWidth="24600" windowHeight="13965" xr2:uid="{508D4080-52FB-4352-AF43-DB04F21E159F}"/>
  </bookViews>
  <sheets>
    <sheet name="Haitta-aineiden hallinta 0,8mm" sheetId="1" r:id="rId1"/>
    <sheet name="Ilmavuototiivistys 0,5mm" sheetId="2" r:id="rId2"/>
    <sheet name="Vesieristys 0,45mm" sheetId="3" r:id="rId3"/>
    <sheet name="Karhennus" sheetId="4" r:id="rId4"/>
    <sheet name="Sekoitussuhteet" sheetId="5" r:id="rId5"/>
    <sheet name="versiohistoria" sheetId="6" r:id="rId6"/>
  </sheets>
  <definedNames>
    <definedName name="_xlnm.Print_Area" localSheetId="4">Sekoitussuhteet!$A$1:$N$26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2" l="1"/>
  <c r="J17" i="2"/>
  <c r="R17" i="2" s="1"/>
  <c r="J18" i="2"/>
  <c r="P18" i="2" s="1"/>
  <c r="I6" i="1"/>
  <c r="G8" i="5"/>
  <c r="J14" i="3"/>
  <c r="P14" i="3" s="1"/>
  <c r="J19" i="1"/>
  <c r="P19" i="1" s="1"/>
  <c r="J18" i="1"/>
  <c r="R18" i="1" s="1"/>
  <c r="J17" i="1"/>
  <c r="N17" i="1" s="1"/>
  <c r="D18" i="4"/>
  <c r="J18" i="4" s="1"/>
  <c r="I8" i="1"/>
  <c r="Q8" i="1" s="1"/>
  <c r="D20" i="1"/>
  <c r="J18" i="5"/>
  <c r="G18" i="5"/>
  <c r="O17" i="5"/>
  <c r="N17" i="5"/>
  <c r="O18" i="5"/>
  <c r="N18" i="5"/>
  <c r="O20" i="5"/>
  <c r="N20" i="5"/>
  <c r="Q20" i="5" s="1"/>
  <c r="O19" i="5"/>
  <c r="N19" i="5"/>
  <c r="O11" i="5"/>
  <c r="O10" i="5"/>
  <c r="O9" i="5"/>
  <c r="O8" i="5"/>
  <c r="N11" i="5"/>
  <c r="N10" i="5"/>
  <c r="N9" i="5"/>
  <c r="N8" i="5"/>
  <c r="I7" i="1"/>
  <c r="O7" i="1" s="1"/>
  <c r="J7" i="2"/>
  <c r="L7" i="2" s="1"/>
  <c r="J6" i="2"/>
  <c r="P6" i="2" s="1"/>
  <c r="J13" i="3"/>
  <c r="R13" i="3" s="1"/>
  <c r="J8" i="3"/>
  <c r="N8" i="3" s="1"/>
  <c r="J6" i="3"/>
  <c r="J5" i="3"/>
  <c r="J7" i="3" s="1"/>
  <c r="J9" i="3" s="1"/>
  <c r="D12" i="4"/>
  <c r="G12" i="4" s="1"/>
  <c r="D6" i="4"/>
  <c r="J6" i="4" s="1"/>
  <c r="J19" i="2" l="1"/>
  <c r="J20" i="2" s="1"/>
  <c r="R18" i="2"/>
  <c r="L18" i="2"/>
  <c r="L17" i="2"/>
  <c r="N17" i="2"/>
  <c r="N18" i="2"/>
  <c r="P17" i="2"/>
  <c r="N6" i="3"/>
  <c r="L6" i="3"/>
  <c r="P5" i="3"/>
  <c r="L5" i="3"/>
  <c r="Q6" i="1"/>
  <c r="N6" i="2"/>
  <c r="R6" i="2"/>
  <c r="L6" i="2"/>
  <c r="N5" i="3"/>
  <c r="R5" i="3"/>
  <c r="L8" i="3"/>
  <c r="P8" i="3"/>
  <c r="R8" i="3"/>
  <c r="K8" i="1"/>
  <c r="K7" i="1"/>
  <c r="P18" i="1"/>
  <c r="N18" i="1"/>
  <c r="P17" i="1"/>
  <c r="L17" i="1"/>
  <c r="L18" i="1"/>
  <c r="R17" i="1"/>
  <c r="N13" i="3"/>
  <c r="P13" i="3"/>
  <c r="L13" i="3"/>
  <c r="N14" i="3"/>
  <c r="R14" i="3"/>
  <c r="L14" i="3"/>
  <c r="Q19" i="5"/>
  <c r="L19" i="1"/>
  <c r="N19" i="1"/>
  <c r="R19" i="1"/>
  <c r="N7" i="2"/>
  <c r="P7" i="2"/>
  <c r="R7" i="2"/>
  <c r="J8" i="2"/>
  <c r="P6" i="3"/>
  <c r="R6" i="3"/>
  <c r="Q7" i="1"/>
  <c r="M7" i="1"/>
  <c r="M8" i="1"/>
  <c r="O8" i="1"/>
  <c r="Q18" i="5"/>
  <c r="J15" i="3"/>
  <c r="J20" i="1"/>
  <c r="J21" i="1" s="1"/>
  <c r="Q17" i="5"/>
  <c r="Q8" i="5"/>
  <c r="J8" i="5"/>
  <c r="Q10" i="5"/>
  <c r="Q11" i="5"/>
  <c r="Q9" i="5"/>
  <c r="M12" i="4"/>
  <c r="J12" i="4"/>
  <c r="G6" i="4"/>
  <c r="M6" i="4" s="1"/>
  <c r="G18" i="4"/>
  <c r="M18" i="4" s="1"/>
  <c r="K6" i="1" l="1"/>
  <c r="I9" i="1"/>
  <c r="I10" i="1" s="1"/>
  <c r="M6" i="1"/>
  <c r="O6" i="1"/>
</calcChain>
</file>

<file path=xl/sharedStrings.xml><?xml version="1.0" encoding="utf-8"?>
<sst xmlns="http://schemas.openxmlformats.org/spreadsheetml/2006/main" count="316" uniqueCount="114">
  <si>
    <t>LATTIA/SEINÄ/KATTO</t>
  </si>
  <si>
    <t>pituus (m)</t>
  </si>
  <si>
    <t>leveys (m)</t>
  </si>
  <si>
    <t>TAI</t>
  </si>
  <si>
    <t>pinta-ala (m²)</t>
  </si>
  <si>
    <t>menekki</t>
  </si>
  <si>
    <t>Peruspinnoite</t>
  </si>
  <si>
    <t>200g/m²</t>
  </si>
  <si>
    <t>g</t>
  </si>
  <si>
    <t>kpl</t>
  </si>
  <si>
    <t>350g/m²</t>
  </si>
  <si>
    <t>yht.</t>
  </si>
  <si>
    <t>900g/m²</t>
  </si>
  <si>
    <t>LATTIAN-/KATONRAJA JA SAUMAKOHDAT</t>
  </si>
  <si>
    <t>lattia/katto (mm)</t>
  </si>
  <si>
    <t>seinälle nosto (mm)</t>
  </si>
  <si>
    <t>seinän yht. pituus (m)</t>
  </si>
  <si>
    <t>Kysymykset: tuukka.tahvanainen@tkr.fi</t>
  </si>
  <si>
    <t>KARHENNUS</t>
  </si>
  <si>
    <t>KARHEA VALMISPINTA GRANULAATILLA</t>
  </si>
  <si>
    <t>pinta-ala</t>
  </si>
  <si>
    <t>TKR peruspinnoite määrä</t>
  </si>
  <si>
    <t>Muoviosan määrä</t>
  </si>
  <si>
    <t>Granulaatin määrä</t>
  </si>
  <si>
    <t>Kovettimen määrä</t>
  </si>
  <si>
    <r>
      <t>m</t>
    </r>
    <r>
      <rPr>
        <sz val="12"/>
        <color theme="1"/>
        <rFont val="Calibri"/>
        <family val="2"/>
      </rPr>
      <t>²</t>
    </r>
  </si>
  <si>
    <t>HIEMAN KARHEA VALMISPINTA KVARTSILLA</t>
  </si>
  <si>
    <t>Huom! Kvartsitäyttö seoksissa seossuhde 100:70</t>
  </si>
  <si>
    <t>Kvartsin määrä</t>
  </si>
  <si>
    <t>Karhennus TKR No-slip jauheella</t>
  </si>
  <si>
    <t>TKR Peruspinnoite määrä</t>
  </si>
  <si>
    <t>No-slipin määrä</t>
  </si>
  <si>
    <t>m²</t>
  </si>
  <si>
    <t>VESIERISTYS MENEKKITAULUKKO</t>
  </si>
  <si>
    <t>LATTIA</t>
  </si>
  <si>
    <t>0,45mm kalvopaksuus</t>
  </si>
  <si>
    <t>Alan</t>
  </si>
  <si>
    <t>Peruspinnoite väritön</t>
  </si>
  <si>
    <r>
      <t>kpl</t>
    </r>
    <r>
      <rPr>
        <b/>
        <sz val="14"/>
        <color theme="1"/>
        <rFont val="Arial"/>
        <family val="2"/>
      </rPr>
      <t>)</t>
    </r>
  </si>
  <si>
    <t>SEINÄ</t>
  </si>
  <si>
    <t>0,35mm kalvopaksuus</t>
  </si>
  <si>
    <t>korkeus (m)</t>
  </si>
  <si>
    <t>Hyytelö2 värillinen</t>
  </si>
  <si>
    <r>
      <rPr>
        <b/>
        <sz val="14"/>
        <color theme="1"/>
        <rFont val="Arial"/>
        <family val="2"/>
      </rPr>
      <t>(</t>
    </r>
    <r>
      <rPr>
        <sz val="12"/>
        <color theme="1"/>
        <rFont val="Arial"/>
        <family val="2"/>
      </rPr>
      <t>Kulutuskerros, peruspinnoite</t>
    </r>
  </si>
  <si>
    <t>ILMAVUOTOTIIVISTYS MENEKKITAULUKKO</t>
  </si>
  <si>
    <t>300g/m²</t>
  </si>
  <si>
    <t>KAPSELOINTI/HAITTA-AINEIDEN HALLINTA MENEKKITAULUKKO</t>
  </si>
  <si>
    <t>600g/m²</t>
  </si>
  <si>
    <t xml:space="preserve"> (30mm levikkeillä)</t>
  </si>
  <si>
    <t>18g/jm</t>
  </si>
  <si>
    <t>36g/jm</t>
  </si>
  <si>
    <t>21g/jm</t>
  </si>
  <si>
    <t xml:space="preserve"> g/m²</t>
  </si>
  <si>
    <r>
      <rPr>
        <b/>
        <sz val="12"/>
        <color theme="1"/>
        <rFont val="Arial"/>
        <family val="2"/>
      </rPr>
      <t xml:space="preserve"> g/jm</t>
    </r>
    <r>
      <rPr>
        <sz val="12"/>
        <color theme="1"/>
        <rFont val="Arial"/>
        <family val="2"/>
      </rPr>
      <t xml:space="preserve"> (30mm levikkeillä)</t>
    </r>
  </si>
  <si>
    <t>Hyytelö 2  vaaleanharmaa</t>
  </si>
  <si>
    <t>Hyytelö 2/4 valkoinen</t>
  </si>
  <si>
    <t>Tuote</t>
  </si>
  <si>
    <t>grammoina</t>
  </si>
  <si>
    <t>400g/m²</t>
  </si>
  <si>
    <t>150g/m²</t>
  </si>
  <si>
    <t>250g/m²</t>
  </si>
  <si>
    <t>g/m²</t>
  </si>
  <si>
    <t>Valmiin TKR pinnoitteen määrä</t>
  </si>
  <si>
    <t>Kovettajan määrä</t>
  </si>
  <si>
    <t>100:70</t>
  </si>
  <si>
    <t>100:65</t>
  </si>
  <si>
    <t>100:60</t>
  </si>
  <si>
    <t>100:50</t>
  </si>
  <si>
    <t>Sekoitussuhde</t>
  </si>
  <si>
    <t>suhde</t>
  </si>
  <si>
    <t>muovi</t>
  </si>
  <si>
    <t>kovetin</t>
  </si>
  <si>
    <t>yht</t>
  </si>
  <si>
    <t>Muovinosan määrä</t>
  </si>
  <si>
    <t>AINESOSIEN MÄÄRIEN LASKENTA</t>
  </si>
  <si>
    <t>Suositellut pakkausten määrät</t>
  </si>
  <si>
    <t>3kg pak</t>
  </si>
  <si>
    <t>320g pak</t>
  </si>
  <si>
    <t>1500g pak</t>
  </si>
  <si>
    <t>14kg pak</t>
  </si>
  <si>
    <t>pohjustus</t>
  </si>
  <si>
    <t>välikerros</t>
  </si>
  <si>
    <t>päällikerros</t>
  </si>
  <si>
    <t>älä koske</t>
  </si>
  <si>
    <t>neliöt (m²)</t>
  </si>
  <si>
    <t>300g pak</t>
  </si>
  <si>
    <t>sekoitussuhteiden laskentataulukko</t>
  </si>
  <si>
    <t>käyttöohje taulukolle lisätty</t>
  </si>
  <si>
    <t>pyöristys täysiin pakkauskokoihin</t>
  </si>
  <si>
    <t>tiivistys ja haitta-aineiden hallinnan pikkupurkit muutettu 300g</t>
  </si>
  <si>
    <t>26g/jm</t>
  </si>
  <si>
    <t>68g/jm</t>
  </si>
  <si>
    <r>
      <t xml:space="preserve">Taulukko soveltuu TKR Perus-, Hyytelö 2 ja Hyytelö 4 pinnoitteiden Muoviosille sekä K1 ja K2 Kovetinosille. Sekoita TKR Muoviosa ennen annostelua ja punnitusta. Tarkista Kovettajan kunto ennen punnitusta. Käytä komponenttien punnitukseen digivaakaa. Punnitustarkkuus jolla saavutetaan halutut ominaisuudet on </t>
    </r>
    <r>
      <rPr>
        <sz val="11"/>
        <color theme="1"/>
        <rFont val="Calibri"/>
        <family val="2"/>
      </rPr>
      <t>±</t>
    </r>
    <r>
      <rPr>
        <sz val="11"/>
        <color theme="1"/>
        <rFont val="Arial"/>
        <family val="2"/>
      </rPr>
      <t xml:space="preserve">3%. Tarkista käyttökohteeseen soveltuvat menekit ja sekoitussuhteet työohjeesta tai materiaalin valmistajalta. </t>
    </r>
    <r>
      <rPr>
        <b/>
        <sz val="11"/>
        <color theme="1"/>
        <rFont val="Arial"/>
        <family val="2"/>
      </rPr>
      <t>Vinkki:</t>
    </r>
    <r>
      <rPr>
        <sz val="11"/>
        <color theme="1"/>
        <rFont val="Arial"/>
        <family val="2"/>
      </rPr>
      <t xml:space="preserve"> Täytä taulukko käytettävillä annoksilla ja tulosta tämä sivu työmaalle.</t>
    </r>
  </si>
  <si>
    <t>punnitustarkkuus</t>
  </si>
  <si>
    <r>
      <t xml:space="preserve">Tällä taulukolla lasket </t>
    </r>
    <r>
      <rPr>
        <b/>
        <sz val="11"/>
        <color theme="1"/>
        <rFont val="Arial"/>
        <family val="2"/>
      </rPr>
      <t>TKR Muoviosan ja Kovettajan oikean määrän</t>
    </r>
    <r>
      <rPr>
        <sz val="11"/>
        <color theme="1"/>
        <rFont val="Arial"/>
        <family val="2"/>
      </rPr>
      <t xml:space="preserve"> grammoina sekoitussuhteesta riippuen. Kirjoita </t>
    </r>
    <r>
      <rPr>
        <u/>
        <sz val="11"/>
        <color theme="9" tint="-0.499984740745262"/>
        <rFont val="Arial"/>
        <family val="2"/>
      </rPr>
      <t>vihreälle</t>
    </r>
    <r>
      <rPr>
        <sz val="11"/>
        <color theme="1"/>
        <rFont val="Arial"/>
        <family val="2"/>
      </rPr>
      <t xml:space="preserve"> pohjalle tarvittava </t>
    </r>
    <r>
      <rPr>
        <b/>
        <sz val="11"/>
        <color theme="1"/>
        <rFont val="Arial"/>
        <family val="2"/>
      </rPr>
      <t>kokonaismäärä TKR pinnoitetta</t>
    </r>
    <r>
      <rPr>
        <sz val="11"/>
        <color theme="1"/>
        <rFont val="Arial"/>
        <family val="2"/>
      </rPr>
      <t xml:space="preserve">. Ota oikea sekoitussuhde </t>
    </r>
    <r>
      <rPr>
        <sz val="11"/>
        <color theme="4" tint="-0.499984740745262"/>
        <rFont val="Arial"/>
        <family val="2"/>
      </rPr>
      <t>sinisestä</t>
    </r>
    <r>
      <rPr>
        <sz val="11"/>
        <color theme="1"/>
        <rFont val="Arial"/>
        <family val="2"/>
      </rPr>
      <t xml:space="preserve"> alasvetovalikosta. Taulukko laskee tarvittavat komponenttien määrät keltaiselle pohjalle</t>
    </r>
  </si>
  <si>
    <t>1. pinnoitus</t>
  </si>
  <si>
    <t>2. pinnoitus</t>
  </si>
  <si>
    <t>Hyytelö 2 tai 4</t>
  </si>
  <si>
    <t>800g/m²</t>
  </si>
  <si>
    <t>vesieristys ja kulutus yht.</t>
  </si>
  <si>
    <t>vesieristys yht.</t>
  </si>
  <si>
    <t>Vesieristystä selkeytetty</t>
  </si>
  <si>
    <t>kalvopaksuudet lisätty välilehtiin</t>
  </si>
  <si>
    <t>Hyytelö 2 tai 4 valkoinen</t>
  </si>
  <si>
    <t>Hyytelö 2  tai 4 vaaleanharmaa</t>
  </si>
  <si>
    <t>Hyytelö 4 tai 2 valkoinen</t>
  </si>
  <si>
    <t>Hyytelö 4 tai 2 vaaleanharmaa</t>
  </si>
  <si>
    <t>kg</t>
  </si>
  <si>
    <t>LATTIAN-/KATONRAJA, SAUMAKOHDAT JA LÄPIVIENNIT</t>
  </si>
  <si>
    <t>LATTIA-/SEINÄ-/KATTOPINNAT</t>
  </si>
  <si>
    <t>Peruspinnoite tai Hyytelö 2</t>
  </si>
  <si>
    <t>käyttöohjeeseen välilehdistä maininta</t>
  </si>
  <si>
    <r>
      <rPr>
        <b/>
        <sz val="12"/>
        <color theme="1"/>
        <rFont val="Arial"/>
        <family val="2"/>
      </rPr>
      <t>Taulukon käyttöohje</t>
    </r>
    <r>
      <rPr>
        <sz val="24"/>
        <color theme="1"/>
        <rFont val="Arial"/>
        <family val="2"/>
      </rPr>
      <t xml:space="preserve">
</t>
    </r>
    <r>
      <rPr>
        <sz val="12"/>
        <color rgb="FFFF0000"/>
        <rFont val="Arial"/>
        <family val="2"/>
      </rPr>
      <t>Valitse oikean työmenetelmän välilehti alhaalta.</t>
    </r>
    <r>
      <rPr>
        <sz val="12"/>
        <color theme="1"/>
        <rFont val="Arial"/>
        <family val="2"/>
      </rPr>
      <t xml:space="preserve"> Taulukko pyöristää tarvittavat pakkausten määrät ylöspäin kokonaisiksi pakkauksiksi. Kustannustehokkaimman ratkaisun saatte yhdistelemällä eri pakkauskokoja tarvittavan </t>
    </r>
    <r>
      <rPr>
        <sz val="12"/>
        <rFont val="Arial"/>
        <family val="2"/>
      </rPr>
      <t>kokonaisgrammamäärän</t>
    </r>
    <r>
      <rPr>
        <sz val="12"/>
        <color theme="1"/>
        <rFont val="Arial"/>
        <family val="2"/>
      </rPr>
      <t xml:space="preserve"> mukaisesti. </t>
    </r>
    <r>
      <rPr>
        <u/>
        <sz val="12"/>
        <color theme="1"/>
        <rFont val="Arial"/>
        <family val="2"/>
      </rPr>
      <t>Taulukon ehdotus grammamäärästä on laskennallinen.</t>
    </r>
    <r>
      <rPr>
        <sz val="12"/>
        <color theme="1"/>
        <rFont val="Arial"/>
        <family val="2"/>
      </rPr>
      <t xml:space="preserve"> Esimerkiksi TKR Peruspinnoitteen määrä riippuu pinnoitettavasta materiaalista ja sen huokoisuudesta. Huomioikaa hukkamenekki; roiskeet, työvälineet, pinnan karheus, ym.)</t>
    </r>
  </si>
  <si>
    <r>
      <rPr>
        <b/>
        <sz val="12"/>
        <color theme="1"/>
        <rFont val="Arial"/>
        <family val="2"/>
      </rPr>
      <t>Taulukon käyttöohje</t>
    </r>
    <r>
      <rPr>
        <sz val="24"/>
        <color theme="1"/>
        <rFont val="Arial"/>
        <family val="2"/>
      </rPr>
      <t xml:space="preserve">
</t>
    </r>
    <r>
      <rPr>
        <sz val="12"/>
        <color rgb="FFFF0000"/>
        <rFont val="Arial"/>
        <family val="2"/>
      </rPr>
      <t>Valitse oikean työmenetelmän välilehti alhaalta.</t>
    </r>
    <r>
      <rPr>
        <sz val="12"/>
        <color theme="1"/>
        <rFont val="Arial"/>
        <family val="2"/>
      </rPr>
      <t xml:space="preserve"> Taulukko pyöristää tarvittavat pakkausten määrät ylöspäin kokonaisiksi pakkauksiksi. Kustannustehokkaimman ratkaisun saatte yhdistelemällä eri pakkauskokoja tarvittavan </t>
    </r>
    <r>
      <rPr>
        <sz val="12"/>
        <rFont val="Arial"/>
        <family val="2"/>
      </rPr>
      <t>kokonaisgrammamäärän</t>
    </r>
    <r>
      <rPr>
        <sz val="12"/>
        <color theme="1"/>
        <rFont val="Arial"/>
        <family val="2"/>
      </rPr>
      <t xml:space="preserve"> mukaisesti. </t>
    </r>
    <r>
      <rPr>
        <u/>
        <sz val="12"/>
        <color theme="1"/>
        <rFont val="Arial"/>
        <family val="2"/>
      </rPr>
      <t>Taulukon ehdotus grammamäärästä on laskennallinen</t>
    </r>
    <r>
      <rPr>
        <sz val="12"/>
        <color theme="1"/>
        <rFont val="Arial"/>
        <family val="2"/>
      </rPr>
      <t>. Esimerkiksi TKR Peruspinnoitteen määrä riippuu pinnoitettavasta materiaalista ja sen huokoisuudesta. Huomioikaa hukkamenekki; roiskeet, työvälineet, pinnan karheus, ym.)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</si>
</sst>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"/>
    <numFmt numFmtId="167" formatCode="#,##0.00\ &quot;€&quot;"/>
  </numFmts>
  <fonts count="21" x14ac:knownFonts="1"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26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4" tint="-0.499984740745262"/>
      <name val="Arial"/>
      <family val="2"/>
    </font>
    <font>
      <u/>
      <sz val="11"/>
      <color theme="9" tint="-0.499984740745262"/>
      <name val="Arial"/>
      <family val="2"/>
    </font>
    <font>
      <u/>
      <sz val="12"/>
      <color theme="1"/>
      <name val="Arial"/>
      <family val="2"/>
    </font>
    <font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54">
    <xf numFmtId="0" fontId="0" fillId="0" borderId="0" xfId="0"/>
    <xf numFmtId="0" fontId="1" fillId="0" borderId="0" xfId="0" applyFont="1"/>
    <xf numFmtId="0" fontId="2" fillId="0" borderId="0" xfId="0" applyFont="1" applyProtection="1">
      <protection locked="0"/>
    </xf>
    <xf numFmtId="14" fontId="2" fillId="0" borderId="0" xfId="0" applyNumberFormat="1" applyFont="1"/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Protection="1">
      <protection locked="0"/>
    </xf>
    <xf numFmtId="0" fontId="2" fillId="4" borderId="0" xfId="0" applyFont="1" applyFill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4" borderId="7" xfId="0" applyFont="1" applyFill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5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1" fontId="2" fillId="4" borderId="0" xfId="0" applyNumberFormat="1" applyFont="1" applyFill="1"/>
    <xf numFmtId="1" fontId="2" fillId="4" borderId="7" xfId="0" applyNumberFormat="1" applyFont="1" applyFill="1" applyBorder="1"/>
    <xf numFmtId="1" fontId="2" fillId="0" borderId="0" xfId="0" applyNumberFormat="1" applyFont="1" applyProtection="1">
      <protection locked="0"/>
    </xf>
    <xf numFmtId="0" fontId="4" fillId="0" borderId="0" xfId="0" applyFont="1"/>
    <xf numFmtId="0" fontId="2" fillId="0" borderId="12" xfId="0" applyFont="1" applyBorder="1" applyProtection="1">
      <protection locked="0"/>
    </xf>
    <xf numFmtId="0" fontId="2" fillId="0" borderId="12" xfId="0" applyFont="1" applyBorder="1"/>
    <xf numFmtId="0" fontId="2" fillId="5" borderId="6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3" xfId="0" applyFont="1" applyBorder="1"/>
    <xf numFmtId="1" fontId="2" fillId="0" borderId="0" xfId="0" applyNumberFormat="1" applyFont="1"/>
    <xf numFmtId="0" fontId="2" fillId="0" borderId="13" xfId="0" applyFont="1" applyBorder="1" applyProtection="1">
      <protection locked="0"/>
    </xf>
    <xf numFmtId="0" fontId="1" fillId="0" borderId="0" xfId="0" applyFont="1" applyProtection="1">
      <protection locked="0"/>
    </xf>
    <xf numFmtId="0" fontId="2" fillId="6" borderId="6" xfId="0" applyFont="1" applyFill="1" applyBorder="1" applyProtection="1">
      <protection locked="0"/>
    </xf>
    <xf numFmtId="14" fontId="2" fillId="0" borderId="0" xfId="0" applyNumberFormat="1" applyFont="1" applyProtection="1">
      <protection locked="0"/>
    </xf>
    <xf numFmtId="2" fontId="2" fillId="0" borderId="0" xfId="0" applyNumberFormat="1" applyFont="1"/>
    <xf numFmtId="0" fontId="4" fillId="0" borderId="0" xfId="0" applyFont="1" applyProtection="1">
      <protection locked="0"/>
    </xf>
    <xf numFmtId="0" fontId="3" fillId="0" borderId="7" xfId="0" applyFont="1" applyBorder="1"/>
    <xf numFmtId="0" fontId="9" fillId="0" borderId="0" xfId="0" applyFont="1"/>
    <xf numFmtId="49" fontId="9" fillId="0" borderId="0" xfId="0" applyNumberFormat="1" applyFont="1"/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10" fillId="0" borderId="10" xfId="0" applyFont="1" applyBorder="1"/>
    <xf numFmtId="0" fontId="10" fillId="0" borderId="11" xfId="0" applyFont="1" applyBorder="1"/>
    <xf numFmtId="49" fontId="10" fillId="4" borderId="10" xfId="0" applyNumberFormat="1" applyFont="1" applyFill="1" applyBorder="1"/>
    <xf numFmtId="1" fontId="10" fillId="7" borderId="10" xfId="0" applyNumberFormat="1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9" fillId="0" borderId="2" xfId="0" applyFont="1" applyBorder="1"/>
    <xf numFmtId="0" fontId="3" fillId="0" borderId="0" xfId="0" applyFont="1" applyAlignment="1">
      <alignment horizontal="center"/>
    </xf>
    <xf numFmtId="0" fontId="10" fillId="4" borderId="10" xfId="0" applyFont="1" applyFill="1" applyBorder="1"/>
    <xf numFmtId="0" fontId="10" fillId="7" borderId="10" xfId="0" applyFont="1" applyFill="1" applyBorder="1"/>
    <xf numFmtId="0" fontId="10" fillId="8" borderId="10" xfId="0" applyFont="1" applyFill="1" applyBorder="1"/>
    <xf numFmtId="0" fontId="9" fillId="0" borderId="0" xfId="0" applyFont="1" applyAlignment="1">
      <alignment vertical="top" wrapText="1"/>
    </xf>
    <xf numFmtId="14" fontId="9" fillId="0" borderId="0" xfId="0" applyNumberFormat="1" applyFont="1"/>
    <xf numFmtId="0" fontId="10" fillId="3" borderId="9" xfId="0" applyFont="1" applyFill="1" applyBorder="1" applyAlignment="1">
      <alignment wrapText="1"/>
    </xf>
    <xf numFmtId="0" fontId="10" fillId="3" borderId="9" xfId="0" applyFont="1" applyFill="1" applyBorder="1"/>
    <xf numFmtId="0" fontId="2" fillId="0" borderId="12" xfId="0" applyFont="1" applyBorder="1" applyAlignment="1" applyProtection="1">
      <alignment horizontal="right"/>
      <protection locked="0"/>
    </xf>
    <xf numFmtId="0" fontId="5" fillId="0" borderId="7" xfId="0" applyFont="1" applyBorder="1" applyAlignment="1">
      <alignment horizontal="center"/>
    </xf>
    <xf numFmtId="1" fontId="2" fillId="0" borderId="4" xfId="0" applyNumberFormat="1" applyFont="1" applyBorder="1"/>
    <xf numFmtId="1" fontId="2" fillId="0" borderId="9" xfId="0" applyNumberFormat="1" applyFont="1" applyBorder="1"/>
    <xf numFmtId="1" fontId="2" fillId="0" borderId="10" xfId="0" applyNumberFormat="1" applyFont="1" applyBorder="1"/>
    <xf numFmtId="0" fontId="2" fillId="9" borderId="6" xfId="0" applyFont="1" applyFill="1" applyBorder="1" applyProtection="1">
      <protection locked="0"/>
    </xf>
    <xf numFmtId="0" fontId="6" fillId="0" borderId="0" xfId="0" applyFont="1" applyAlignment="1">
      <alignment vertical="top" wrapText="1"/>
    </xf>
    <xf numFmtId="14" fontId="0" fillId="0" borderId="0" xfId="0" applyNumberFormat="1"/>
    <xf numFmtId="165" fontId="2" fillId="0" borderId="0" xfId="0" applyNumberFormat="1" applyFont="1" applyProtection="1">
      <protection locked="0"/>
    </xf>
    <xf numFmtId="0" fontId="13" fillId="0" borderId="0" xfId="1"/>
    <xf numFmtId="166" fontId="4" fillId="0" borderId="0" xfId="0" applyNumberFormat="1" applyFont="1"/>
    <xf numFmtId="49" fontId="14" fillId="0" borderId="0" xfId="0" applyNumberFormat="1" applyFont="1"/>
    <xf numFmtId="0" fontId="14" fillId="0" borderId="0" xfId="0" applyFont="1"/>
    <xf numFmtId="49" fontId="15" fillId="0" borderId="1" xfId="0" applyNumberFormat="1" applyFont="1" applyBorder="1"/>
    <xf numFmtId="0" fontId="15" fillId="0" borderId="2" xfId="0" applyFont="1" applyBorder="1"/>
    <xf numFmtId="0" fontId="15" fillId="0" borderId="3" xfId="0" applyFont="1" applyBorder="1"/>
    <xf numFmtId="49" fontId="15" fillId="0" borderId="4" xfId="0" applyNumberFormat="1" applyFont="1" applyBorder="1"/>
    <xf numFmtId="0" fontId="15" fillId="0" borderId="0" xfId="0" applyFont="1"/>
    <xf numFmtId="0" fontId="15" fillId="0" borderId="5" xfId="0" applyFont="1" applyBorder="1"/>
    <xf numFmtId="49" fontId="15" fillId="0" borderId="9" xfId="0" applyNumberFormat="1" applyFont="1" applyBorder="1"/>
    <xf numFmtId="0" fontId="15" fillId="0" borderId="10" xfId="0" applyFont="1" applyBorder="1"/>
    <xf numFmtId="0" fontId="15" fillId="0" borderId="11" xfId="0" applyFont="1" applyBorder="1"/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2" fontId="2" fillId="0" borderId="10" xfId="0" applyNumberFormat="1" applyFont="1" applyBorder="1"/>
    <xf numFmtId="0" fontId="13" fillId="0" borderId="0" xfId="1" applyProtection="1">
      <protection locked="0"/>
    </xf>
    <xf numFmtId="2" fontId="0" fillId="0" borderId="0" xfId="0" applyNumberFormat="1"/>
    <xf numFmtId="2" fontId="2" fillId="0" borderId="0" xfId="0" applyNumberFormat="1" applyFont="1" applyProtection="1">
      <protection locked="0"/>
    </xf>
    <xf numFmtId="167" fontId="2" fillId="0" borderId="0" xfId="0" applyNumberFormat="1" applyFont="1"/>
    <xf numFmtId="0" fontId="13" fillId="0" borderId="0" xfId="1" applyBorder="1" applyProtection="1">
      <protection locked="0"/>
    </xf>
    <xf numFmtId="3" fontId="0" fillId="0" borderId="0" xfId="0" applyNumberFormat="1"/>
    <xf numFmtId="0" fontId="2" fillId="0" borderId="9" xfId="0" applyFont="1" applyBorder="1"/>
    <xf numFmtId="0" fontId="2" fillId="4" borderId="0" xfId="0" applyFont="1" applyFill="1" applyProtection="1">
      <protection locked="0"/>
    </xf>
    <xf numFmtId="0" fontId="2" fillId="3" borderId="7" xfId="0" applyFont="1" applyFill="1" applyBorder="1"/>
    <xf numFmtId="0" fontId="2" fillId="3" borderId="8" xfId="0" applyFont="1" applyFill="1" applyBorder="1"/>
    <xf numFmtId="0" fontId="8" fillId="4" borderId="0" xfId="0" applyFont="1" applyFill="1" applyAlignment="1" applyProtection="1">
      <alignment horizontal="right"/>
      <protection locked="0"/>
    </xf>
    <xf numFmtId="0" fontId="8" fillId="3" borderId="7" xfId="0" applyFont="1" applyFill="1" applyBorder="1" applyAlignment="1">
      <alignment horizontal="right"/>
    </xf>
    <xf numFmtId="0" fontId="3" fillId="0" borderId="0" xfId="0" applyFont="1" applyProtection="1">
      <protection locked="0"/>
    </xf>
    <xf numFmtId="1" fontId="2" fillId="0" borderId="14" xfId="0" applyNumberFormat="1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/>
    <xf numFmtId="0" fontId="2" fillId="0" borderId="15" xfId="0" applyFont="1" applyBorder="1" applyAlignment="1" applyProtection="1">
      <alignment horizontal="right"/>
      <protection locked="0"/>
    </xf>
    <xf numFmtId="0" fontId="5" fillId="0" borderId="15" xfId="0" applyFont="1" applyBorder="1" applyAlignment="1" applyProtection="1">
      <alignment horizontal="right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Protection="1">
      <protection locked="0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0" xfId="0" applyFont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F6185-D80F-4045-8944-437BC91ADEAD}">
  <dimension ref="A1:S32"/>
  <sheetViews>
    <sheetView tabSelected="1" topLeftCell="A2" zoomScale="85" zoomScaleNormal="85" workbookViewId="0">
      <selection activeCell="J28" sqref="J28"/>
    </sheetView>
  </sheetViews>
  <sheetFormatPr defaultRowHeight="14.4" x14ac:dyDescent="0.3"/>
  <cols>
    <col min="2" max="3" width="16.6640625" customWidth="1"/>
    <col min="6" max="6" width="16.5546875" customWidth="1"/>
    <col min="7" max="7" width="34.109375" customWidth="1"/>
    <col min="8" max="9" width="16" customWidth="1"/>
    <col min="10" max="10" width="10.5546875" customWidth="1"/>
    <col min="11" max="11" width="11.44140625" bestFit="1" customWidth="1"/>
    <col min="13" max="13" width="13.88671875" bestFit="1" customWidth="1"/>
  </cols>
  <sheetData>
    <row r="1" spans="1:19" ht="27.6" x14ac:dyDescent="0.45">
      <c r="A1" s="1" t="s">
        <v>46</v>
      </c>
      <c r="B1" s="2"/>
      <c r="C1" s="2"/>
      <c r="D1" s="2"/>
      <c r="E1" s="2"/>
      <c r="F1" s="2"/>
      <c r="G1" s="3"/>
      <c r="H1" s="3"/>
      <c r="I1" s="3"/>
      <c r="J1" s="2"/>
      <c r="K1" s="36">
        <v>44314</v>
      </c>
      <c r="L1" s="2"/>
      <c r="M1" s="2"/>
      <c r="N1" s="2"/>
      <c r="O1" s="2"/>
      <c r="P1" s="2"/>
      <c r="Q1" s="2"/>
      <c r="R1" s="2"/>
      <c r="S1" s="2"/>
    </row>
    <row r="2" spans="1:19" ht="15.6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6.2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0.399999999999999" x14ac:dyDescent="0.35">
      <c r="A4" s="2"/>
      <c r="B4" s="4" t="s">
        <v>0</v>
      </c>
      <c r="C4" s="2"/>
      <c r="D4" s="2"/>
      <c r="E4" s="2"/>
      <c r="F4" s="2"/>
      <c r="G4" s="2"/>
      <c r="H4" s="118" t="s">
        <v>5</v>
      </c>
      <c r="I4" s="118"/>
      <c r="J4" s="2"/>
      <c r="K4" s="113" t="s">
        <v>75</v>
      </c>
      <c r="L4" s="114"/>
      <c r="M4" s="114"/>
      <c r="N4" s="114"/>
      <c r="O4" s="114"/>
      <c r="P4" s="114"/>
      <c r="Q4" s="114"/>
      <c r="R4" s="115"/>
      <c r="S4" s="38"/>
    </row>
    <row r="5" spans="1:19" ht="18" thickBot="1" x14ac:dyDescent="0.35">
      <c r="A5" s="2"/>
      <c r="B5" s="5" t="s">
        <v>1</v>
      </c>
      <c r="C5" s="5" t="s">
        <v>2</v>
      </c>
      <c r="D5" s="6" t="s">
        <v>3</v>
      </c>
      <c r="E5" s="5" t="s">
        <v>4</v>
      </c>
      <c r="F5" s="2"/>
      <c r="G5" s="39" t="s">
        <v>56</v>
      </c>
      <c r="H5" s="60" t="s">
        <v>52</v>
      </c>
      <c r="I5" s="109" t="s">
        <v>57</v>
      </c>
      <c r="J5" s="110"/>
      <c r="K5" s="119" t="s">
        <v>85</v>
      </c>
      <c r="L5" s="120"/>
      <c r="M5" s="120" t="s">
        <v>78</v>
      </c>
      <c r="N5" s="120"/>
      <c r="O5" s="120" t="s">
        <v>76</v>
      </c>
      <c r="P5" s="120"/>
      <c r="Q5" s="120" t="s">
        <v>79</v>
      </c>
      <c r="R5" s="121"/>
      <c r="S5" s="5"/>
    </row>
    <row r="6" spans="1:19" ht="16.2" thickBot="1" x14ac:dyDescent="0.35">
      <c r="A6" s="2"/>
      <c r="B6" s="10"/>
      <c r="C6" s="11"/>
      <c r="D6" s="2"/>
      <c r="E6" s="12">
        <v>10</v>
      </c>
      <c r="F6" s="59" t="s">
        <v>80</v>
      </c>
      <c r="G6" s="5" t="s">
        <v>6</v>
      </c>
      <c r="H6" s="7" t="s">
        <v>7</v>
      </c>
      <c r="I6" s="13">
        <f>IF($B$6*$C$6=0,$E$6*200,$B$6*$C$6*200)</f>
        <v>2000</v>
      </c>
      <c r="J6" s="5" t="s">
        <v>8</v>
      </c>
      <c r="K6" s="61">
        <f>ROUNDUP(($I$6/300),0)</f>
        <v>7</v>
      </c>
      <c r="L6" s="37" t="s">
        <v>9</v>
      </c>
      <c r="M6" s="32">
        <f>ROUNDUP(($I$6/1500),0)</f>
        <v>2</v>
      </c>
      <c r="N6" s="37" t="s">
        <v>9</v>
      </c>
      <c r="O6" s="32">
        <f>ROUNDUP(($I$6/3000),0)</f>
        <v>1</v>
      </c>
      <c r="P6" s="5" t="s">
        <v>9</v>
      </c>
      <c r="Q6" s="32">
        <f>ROUNDUP((I6/14000),0)</f>
        <v>1</v>
      </c>
      <c r="R6" s="9" t="s">
        <v>9</v>
      </c>
      <c r="S6" s="5"/>
    </row>
    <row r="7" spans="1:19" ht="15.6" x14ac:dyDescent="0.3">
      <c r="A7" s="2"/>
      <c r="B7" s="2"/>
      <c r="C7" s="2"/>
      <c r="D7" s="2"/>
      <c r="E7" s="2"/>
      <c r="F7" s="59" t="s">
        <v>81</v>
      </c>
      <c r="G7" s="5" t="s">
        <v>103</v>
      </c>
      <c r="H7" s="7" t="s">
        <v>10</v>
      </c>
      <c r="I7" s="13">
        <f>IF($B$6*$C$6=0,$E$6*350,$B$6*$C$6*350)</f>
        <v>3500</v>
      </c>
      <c r="J7" s="5" t="s">
        <v>8</v>
      </c>
      <c r="K7" s="61">
        <f>ROUNDUP(($I$7/300),0)</f>
        <v>12</v>
      </c>
      <c r="L7" s="37" t="s">
        <v>9</v>
      </c>
      <c r="M7" s="32">
        <f>ROUNDUP(($I$7/1500),0)</f>
        <v>3</v>
      </c>
      <c r="N7" s="37" t="s">
        <v>9</v>
      </c>
      <c r="O7" s="32">
        <f>ROUNDUP(($I$7/3000),0)</f>
        <v>2</v>
      </c>
      <c r="P7" s="5" t="s">
        <v>9</v>
      </c>
      <c r="Q7" s="32">
        <f>ROUNDUP((I7/14000),0)</f>
        <v>1</v>
      </c>
      <c r="R7" s="9" t="s">
        <v>9</v>
      </c>
      <c r="S7" s="5"/>
    </row>
    <row r="8" spans="1:19" ht="16.2" thickBot="1" x14ac:dyDescent="0.35">
      <c r="A8" s="2"/>
      <c r="B8" s="2"/>
      <c r="C8" s="2"/>
      <c r="D8" s="2"/>
      <c r="E8" s="2"/>
      <c r="F8" s="59" t="s">
        <v>82</v>
      </c>
      <c r="G8" s="14" t="s">
        <v>104</v>
      </c>
      <c r="H8" s="15" t="s">
        <v>10</v>
      </c>
      <c r="I8" s="16">
        <f>IF($B$6*$C$6=0,$E$6*350,$B$6*$C$6*350)</f>
        <v>3500</v>
      </c>
      <c r="J8" s="17" t="s">
        <v>8</v>
      </c>
      <c r="K8" s="62">
        <f>ROUNDUP(($I$8/300),0)</f>
        <v>12</v>
      </c>
      <c r="L8" s="18" t="s">
        <v>9</v>
      </c>
      <c r="M8" s="63">
        <f>ROUNDUP(($I$8/1500),0)</f>
        <v>3</v>
      </c>
      <c r="N8" s="18" t="s">
        <v>9</v>
      </c>
      <c r="O8" s="63">
        <f>ROUNDUP(($I$8/3000),0)</f>
        <v>2</v>
      </c>
      <c r="P8" s="18" t="s">
        <v>9</v>
      </c>
      <c r="Q8" s="63">
        <f>ROUNDUP((I8/14000),0)</f>
        <v>1</v>
      </c>
      <c r="R8" s="19" t="s">
        <v>9</v>
      </c>
      <c r="S8" s="5"/>
    </row>
    <row r="9" spans="1:19" ht="15.6" x14ac:dyDescent="0.3">
      <c r="A9" s="2"/>
      <c r="B9" s="2"/>
      <c r="C9" s="2"/>
      <c r="D9" s="2"/>
      <c r="E9" s="2"/>
      <c r="F9" s="2"/>
      <c r="G9" s="20" t="s">
        <v>11</v>
      </c>
      <c r="H9" s="21" t="s">
        <v>12</v>
      </c>
      <c r="I9" s="98">
        <f>SUM(I6:I8)</f>
        <v>9000</v>
      </c>
      <c r="J9" s="2" t="s">
        <v>8</v>
      </c>
      <c r="K9" s="2"/>
      <c r="L9" s="2"/>
      <c r="M9" s="2"/>
      <c r="N9" s="2"/>
      <c r="O9" s="2"/>
      <c r="P9" s="2"/>
      <c r="Q9" s="2"/>
      <c r="R9" s="2"/>
      <c r="S9" s="2"/>
    </row>
    <row r="10" spans="1:19" ht="15.6" x14ac:dyDescent="0.3">
      <c r="A10" s="2"/>
      <c r="B10" s="2"/>
      <c r="C10" s="2"/>
      <c r="D10" s="2"/>
      <c r="E10" s="2"/>
      <c r="F10" s="2"/>
      <c r="G10" s="20"/>
      <c r="H10" s="21"/>
      <c r="I10" s="86">
        <f>I9/1000</f>
        <v>9</v>
      </c>
      <c r="J10" s="2" t="s">
        <v>107</v>
      </c>
      <c r="K10" s="2"/>
      <c r="L10" s="2"/>
      <c r="M10" s="2"/>
      <c r="N10" s="2"/>
      <c r="O10" s="2"/>
      <c r="P10" s="2"/>
      <c r="Q10" s="2"/>
      <c r="R10" s="2"/>
      <c r="S10" s="2"/>
    </row>
    <row r="11" spans="1:19" ht="15.6" x14ac:dyDescent="0.3">
      <c r="A11" s="2"/>
      <c r="B11" s="2"/>
      <c r="C11" s="2"/>
      <c r="D11" s="2"/>
      <c r="E11" s="2"/>
      <c r="F11" s="2"/>
      <c r="G11" s="20"/>
      <c r="H11" s="2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.6" x14ac:dyDescent="0.3">
      <c r="A12" s="2"/>
      <c r="B12" s="2"/>
      <c r="C12" s="2"/>
      <c r="D12" s="2"/>
      <c r="E12" s="2"/>
      <c r="F12" s="2"/>
      <c r="G12" s="20"/>
      <c r="H12" s="2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5.6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6.2" thickBot="1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2"/>
      <c r="N14" s="2"/>
      <c r="O14" s="2"/>
      <c r="P14" s="2"/>
      <c r="Q14" s="2"/>
      <c r="R14" s="2"/>
      <c r="S14" s="2"/>
    </row>
    <row r="15" spans="1:19" ht="20.25" customHeight="1" x14ac:dyDescent="0.35">
      <c r="A15" s="2"/>
      <c r="B15" s="4" t="s">
        <v>13</v>
      </c>
      <c r="C15" s="2"/>
      <c r="D15" s="2"/>
      <c r="E15" s="2"/>
      <c r="F15" s="2"/>
      <c r="G15" s="2"/>
      <c r="H15" s="111" t="s">
        <v>53</v>
      </c>
      <c r="I15" s="116" t="s">
        <v>52</v>
      </c>
      <c r="J15" s="105" t="s">
        <v>57</v>
      </c>
      <c r="K15" s="106"/>
      <c r="L15" s="113" t="s">
        <v>75</v>
      </c>
      <c r="M15" s="114"/>
      <c r="N15" s="114"/>
      <c r="O15" s="114"/>
      <c r="P15" s="114"/>
      <c r="Q15" s="114"/>
      <c r="R15" s="114"/>
      <c r="S15" s="115"/>
    </row>
    <row r="16" spans="1:19" ht="18" thickBot="1" x14ac:dyDescent="0.35">
      <c r="A16" s="2"/>
      <c r="B16" s="5" t="s">
        <v>14</v>
      </c>
      <c r="C16" s="2"/>
      <c r="D16" s="5" t="s">
        <v>15</v>
      </c>
      <c r="E16" s="2"/>
      <c r="F16" s="2"/>
      <c r="G16" s="39" t="s">
        <v>56</v>
      </c>
      <c r="H16" s="112"/>
      <c r="I16" s="117"/>
      <c r="J16" s="107"/>
      <c r="K16" s="108"/>
      <c r="L16" s="119" t="s">
        <v>85</v>
      </c>
      <c r="M16" s="120"/>
      <c r="N16" s="120" t="s">
        <v>78</v>
      </c>
      <c r="O16" s="120"/>
      <c r="P16" s="120" t="s">
        <v>76</v>
      </c>
      <c r="Q16" s="120"/>
      <c r="R16" s="120" t="s">
        <v>79</v>
      </c>
      <c r="S16" s="121"/>
    </row>
    <row r="17" spans="1:19" ht="16.2" thickBot="1" x14ac:dyDescent="0.35">
      <c r="A17" s="2"/>
      <c r="B17" s="12">
        <v>50</v>
      </c>
      <c r="C17" s="2"/>
      <c r="D17" s="12">
        <v>50</v>
      </c>
      <c r="E17" s="2"/>
      <c r="F17" s="59" t="s">
        <v>80</v>
      </c>
      <c r="G17" s="5" t="s">
        <v>6</v>
      </c>
      <c r="H17" s="7" t="s">
        <v>90</v>
      </c>
      <c r="I17" s="7" t="s">
        <v>7</v>
      </c>
      <c r="J17" s="23">
        <f>($B$17/1000+$D$17/1000+0.005)*$B$20*307.69</f>
        <v>3230.7450000000003</v>
      </c>
      <c r="K17" s="5" t="s">
        <v>8</v>
      </c>
      <c r="L17" s="61">
        <f>ROUNDUP((J17/300),0)</f>
        <v>11</v>
      </c>
      <c r="M17" s="5" t="s">
        <v>9</v>
      </c>
      <c r="N17" s="32">
        <f>ROUNDUP((J17/1500),0)</f>
        <v>3</v>
      </c>
      <c r="O17" s="5" t="s">
        <v>9</v>
      </c>
      <c r="P17" s="32">
        <f>ROUNDUP((J17/3000),0)</f>
        <v>2</v>
      </c>
      <c r="Q17" s="5" t="s">
        <v>9</v>
      </c>
      <c r="R17" s="32">
        <f>ROUNDUP((J17/14000),0)</f>
        <v>1</v>
      </c>
      <c r="S17" s="9" t="s">
        <v>9</v>
      </c>
    </row>
    <row r="18" spans="1:19" ht="15.6" x14ac:dyDescent="0.3">
      <c r="A18" s="2"/>
      <c r="B18" s="2"/>
      <c r="C18" s="2"/>
      <c r="D18" s="2"/>
      <c r="E18" s="2"/>
      <c r="F18" s="59" t="s">
        <v>81</v>
      </c>
      <c r="G18" s="5" t="s">
        <v>105</v>
      </c>
      <c r="H18" s="7" t="s">
        <v>51</v>
      </c>
      <c r="I18" s="7" t="s">
        <v>10</v>
      </c>
      <c r="J18" s="23">
        <f>($B$17/1000+$D$17/1000)*$B$20*350</f>
        <v>3500</v>
      </c>
      <c r="K18" s="5" t="s">
        <v>8</v>
      </c>
      <c r="L18" s="61">
        <f t="shared" ref="L18:L19" si="0">ROUNDUP((J18/300),0)</f>
        <v>12</v>
      </c>
      <c r="M18" s="5" t="s">
        <v>9</v>
      </c>
      <c r="N18" s="32">
        <f t="shared" ref="N18:N19" si="1">ROUNDUP((J18/1500),0)</f>
        <v>3</v>
      </c>
      <c r="O18" s="5" t="s">
        <v>9</v>
      </c>
      <c r="P18" s="32">
        <f t="shared" ref="P18:P19" si="2">ROUNDUP((J18/3000),0)</f>
        <v>2</v>
      </c>
      <c r="Q18" s="5" t="s">
        <v>9</v>
      </c>
      <c r="R18" s="32">
        <f t="shared" ref="R18:R19" si="3">ROUNDUP((J18/14000),0)</f>
        <v>1</v>
      </c>
      <c r="S18" s="9" t="s">
        <v>9</v>
      </c>
    </row>
    <row r="19" spans="1:19" ht="16.2" thickBot="1" x14ac:dyDescent="0.35">
      <c r="A19" s="2"/>
      <c r="B19" s="5" t="s">
        <v>16</v>
      </c>
      <c r="C19" s="2"/>
      <c r="D19" s="2" t="s">
        <v>84</v>
      </c>
      <c r="E19" s="2"/>
      <c r="F19" s="59" t="s">
        <v>82</v>
      </c>
      <c r="G19" s="14" t="s">
        <v>106</v>
      </c>
      <c r="H19" s="15" t="s">
        <v>51</v>
      </c>
      <c r="I19" s="15" t="s">
        <v>10</v>
      </c>
      <c r="J19" s="24">
        <f>($B$17/1000+$D$17/1000)*$B$20*350</f>
        <v>3500</v>
      </c>
      <c r="K19" s="17" t="s">
        <v>8</v>
      </c>
      <c r="L19" s="62">
        <f t="shared" si="0"/>
        <v>12</v>
      </c>
      <c r="M19" s="18" t="s">
        <v>9</v>
      </c>
      <c r="N19" s="63">
        <f t="shared" si="1"/>
        <v>3</v>
      </c>
      <c r="O19" s="18" t="s">
        <v>9</v>
      </c>
      <c r="P19" s="63">
        <f t="shared" si="2"/>
        <v>2</v>
      </c>
      <c r="Q19" s="18" t="s">
        <v>9</v>
      </c>
      <c r="R19" s="63">
        <f t="shared" si="3"/>
        <v>1</v>
      </c>
      <c r="S19" s="19" t="s">
        <v>9</v>
      </c>
    </row>
    <row r="20" spans="1:19" ht="16.2" thickBot="1" x14ac:dyDescent="0.35">
      <c r="A20" s="2"/>
      <c r="B20" s="12">
        <v>100</v>
      </c>
      <c r="C20" s="2"/>
      <c r="D20" s="64">
        <f>((B17+D17+1.5)/1000)*B20</f>
        <v>10.15</v>
      </c>
      <c r="E20" s="2"/>
      <c r="F20" s="2"/>
      <c r="G20" s="20" t="s">
        <v>11</v>
      </c>
      <c r="H20" s="21" t="s">
        <v>91</v>
      </c>
      <c r="I20" s="21" t="s">
        <v>12</v>
      </c>
      <c r="J20" s="97">
        <f>SUM(J17:J19)</f>
        <v>10230.745000000001</v>
      </c>
      <c r="K20" s="2" t="s">
        <v>8</v>
      </c>
      <c r="L20" s="2"/>
      <c r="M20" s="2"/>
      <c r="N20" s="2"/>
      <c r="O20" s="2"/>
      <c r="P20" s="2"/>
      <c r="Q20" s="2"/>
      <c r="R20" s="2"/>
      <c r="S20" s="2"/>
    </row>
    <row r="21" spans="1:19" ht="15.6" x14ac:dyDescent="0.3">
      <c r="A21" s="2"/>
      <c r="B21" s="2"/>
      <c r="C21" s="2"/>
      <c r="D21" s="2"/>
      <c r="E21" s="2"/>
      <c r="F21" s="2"/>
      <c r="G21" s="2"/>
      <c r="H21" s="2"/>
      <c r="I21" s="2"/>
      <c r="J21" s="2">
        <f>J20/1000</f>
        <v>10.230745000000001</v>
      </c>
      <c r="K21" s="2" t="s">
        <v>107</v>
      </c>
      <c r="L21" s="2"/>
      <c r="M21" s="2"/>
      <c r="N21" s="2"/>
      <c r="O21" s="2"/>
      <c r="P21" s="2"/>
      <c r="Q21" s="2"/>
      <c r="R21" s="2"/>
      <c r="S21" s="2"/>
    </row>
    <row r="22" spans="1:19" ht="15.6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9" ht="23.4" customHeight="1" x14ac:dyDescent="0.3">
      <c r="A23" s="2"/>
      <c r="B23" s="104" t="s">
        <v>112</v>
      </c>
      <c r="C23" s="104"/>
      <c r="D23" s="104"/>
      <c r="E23" s="104"/>
      <c r="F23" s="104"/>
      <c r="G23" s="104"/>
      <c r="H23" s="2"/>
      <c r="I23" s="2"/>
      <c r="J23" s="2"/>
      <c r="K23" s="2"/>
      <c r="L23" s="2"/>
      <c r="M23" s="2"/>
      <c r="N23" s="67"/>
      <c r="O23" s="2"/>
      <c r="P23" s="2"/>
      <c r="Q23" s="2"/>
      <c r="R23" s="2"/>
    </row>
    <row r="24" spans="1:19" ht="15.6" customHeight="1" x14ac:dyDescent="0.3">
      <c r="A24" s="2"/>
      <c r="B24" s="104"/>
      <c r="C24" s="104"/>
      <c r="D24" s="104"/>
      <c r="E24" s="104"/>
      <c r="F24" s="104"/>
      <c r="G24" s="104"/>
      <c r="H24" s="2"/>
      <c r="I24" s="2"/>
      <c r="J24" s="2"/>
      <c r="K24" s="2"/>
      <c r="L24" s="2"/>
      <c r="M24" s="2"/>
      <c r="N24" s="67"/>
      <c r="O24" s="2"/>
      <c r="P24" s="2"/>
      <c r="Q24" s="2"/>
      <c r="R24" s="2"/>
    </row>
    <row r="25" spans="1:19" ht="30" customHeight="1" x14ac:dyDescent="0.3">
      <c r="A25" s="2"/>
      <c r="B25" s="104"/>
      <c r="C25" s="104"/>
      <c r="D25" s="104"/>
      <c r="E25" s="104"/>
      <c r="F25" s="104"/>
      <c r="G25" s="104"/>
      <c r="H25" s="2"/>
      <c r="I25" s="2"/>
      <c r="J25" s="2"/>
      <c r="K25" s="2"/>
      <c r="L25" s="2"/>
      <c r="M25" s="84"/>
      <c r="N25" s="67"/>
      <c r="O25" s="2"/>
      <c r="P25" s="2"/>
      <c r="Q25" s="2"/>
      <c r="R25" s="2"/>
    </row>
    <row r="26" spans="1:19" ht="15.6" customHeight="1" x14ac:dyDescent="0.35">
      <c r="A26" s="2"/>
      <c r="B26" s="104"/>
      <c r="C26" s="104"/>
      <c r="D26" s="104"/>
      <c r="E26" s="104"/>
      <c r="F26" s="104"/>
      <c r="G26" s="104"/>
      <c r="H26" s="2"/>
      <c r="I26" s="2"/>
      <c r="J26" s="2"/>
      <c r="K26" s="2"/>
      <c r="L26" s="2"/>
      <c r="M26" s="69"/>
      <c r="N26" s="2"/>
      <c r="O26" s="2"/>
      <c r="P26" s="2"/>
      <c r="Q26" s="2"/>
      <c r="R26" s="2"/>
    </row>
    <row r="27" spans="1:19" ht="20.399999999999999" customHeight="1" x14ac:dyDescent="0.3">
      <c r="A27" s="2"/>
      <c r="B27" s="104"/>
      <c r="C27" s="104"/>
      <c r="D27" s="104"/>
      <c r="E27" s="104"/>
      <c r="F27" s="104"/>
      <c r="G27" s="104"/>
      <c r="H27" s="2"/>
      <c r="I27" s="2"/>
      <c r="J27" s="2"/>
      <c r="K27" s="2"/>
      <c r="L27" s="2"/>
      <c r="M27" s="88"/>
      <c r="N27" s="2"/>
      <c r="O27" s="2"/>
      <c r="P27" s="25"/>
      <c r="Q27" s="2"/>
      <c r="R27" s="2"/>
      <c r="S27" s="2"/>
    </row>
    <row r="28" spans="1:19" ht="15.6" x14ac:dyDescent="0.3">
      <c r="B28" s="104"/>
      <c r="C28" s="104"/>
      <c r="D28" s="104"/>
      <c r="E28" s="104"/>
      <c r="F28" s="104"/>
      <c r="G28" s="104"/>
      <c r="Q28" s="2"/>
    </row>
    <row r="29" spans="1:19" ht="20.399999999999999" x14ac:dyDescent="0.35">
      <c r="B29" s="26" t="s">
        <v>17</v>
      </c>
      <c r="M29" s="89"/>
    </row>
    <row r="30" spans="1:19" ht="15.6" x14ac:dyDescent="0.3">
      <c r="M30" s="2"/>
      <c r="N30" s="2"/>
      <c r="O30" s="2"/>
    </row>
    <row r="31" spans="1:19" ht="15.6" x14ac:dyDescent="0.3">
      <c r="M31" s="2"/>
      <c r="N31" s="2"/>
      <c r="O31" s="2"/>
    </row>
    <row r="32" spans="1:19" ht="15.6" x14ac:dyDescent="0.3">
      <c r="M32" s="2"/>
      <c r="N32" s="2"/>
      <c r="O32" s="2"/>
    </row>
  </sheetData>
  <sheetProtection pivotTables="0"/>
  <mergeCells count="16">
    <mergeCell ref="K4:R4"/>
    <mergeCell ref="I15:I16"/>
    <mergeCell ref="H4:I4"/>
    <mergeCell ref="K5:L5"/>
    <mergeCell ref="M5:N5"/>
    <mergeCell ref="O5:P5"/>
    <mergeCell ref="Q5:R5"/>
    <mergeCell ref="L16:M16"/>
    <mergeCell ref="N16:O16"/>
    <mergeCell ref="P16:Q16"/>
    <mergeCell ref="R16:S16"/>
    <mergeCell ref="B23:G28"/>
    <mergeCell ref="J15:K16"/>
    <mergeCell ref="I5:J5"/>
    <mergeCell ref="H15:H16"/>
    <mergeCell ref="L15:S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F7FFE-E4EB-49DE-87E2-88FF638A31B1}">
  <dimension ref="A1:S31"/>
  <sheetViews>
    <sheetView zoomScale="85" zoomScaleNormal="85" workbookViewId="0">
      <selection activeCell="D13" sqref="D13"/>
    </sheetView>
  </sheetViews>
  <sheetFormatPr defaultColWidth="9.109375" defaultRowHeight="15" x14ac:dyDescent="0.25"/>
  <cols>
    <col min="1" max="1" width="9.109375" style="5"/>
    <col min="2" max="2" width="16.6640625" style="5" customWidth="1"/>
    <col min="3" max="3" width="13.77734375" style="5" customWidth="1"/>
    <col min="4" max="4" width="16.6640625" style="5" customWidth="1"/>
    <col min="5" max="5" width="8.5546875" style="5" customWidth="1"/>
    <col min="6" max="6" width="17.21875" style="5" customWidth="1"/>
    <col min="7" max="7" width="30.88671875" style="5" customWidth="1"/>
    <col min="8" max="9" width="15.109375" style="5" customWidth="1"/>
    <col min="10" max="10" width="9.109375" style="5"/>
    <col min="11" max="11" width="11.77734375" style="5" customWidth="1"/>
    <col min="12" max="12" width="11.44140625" style="5" bestFit="1" customWidth="1"/>
    <col min="13" max="16384" width="9.109375" style="5"/>
  </cols>
  <sheetData>
    <row r="1" spans="1:19" ht="27.6" x14ac:dyDescent="0.45">
      <c r="A1" s="1" t="s">
        <v>44</v>
      </c>
      <c r="H1" s="3">
        <v>44314</v>
      </c>
      <c r="L1" s="3"/>
    </row>
    <row r="3" spans="1:19" ht="16.2" thickBot="1" x14ac:dyDescent="0.35">
      <c r="H3" s="124" t="s">
        <v>5</v>
      </c>
      <c r="I3" s="124"/>
      <c r="J3" s="124"/>
      <c r="K3" s="124"/>
    </row>
    <row r="4" spans="1:19" ht="20.399999999999999" x14ac:dyDescent="0.35">
      <c r="B4" s="4" t="s">
        <v>108</v>
      </c>
      <c r="C4" s="2"/>
      <c r="D4" s="2"/>
      <c r="E4" s="2"/>
      <c r="F4" s="2"/>
      <c r="G4" s="2"/>
      <c r="H4" s="122" t="s">
        <v>48</v>
      </c>
      <c r="I4" s="116" t="s">
        <v>52</v>
      </c>
      <c r="J4" s="105" t="s">
        <v>57</v>
      </c>
      <c r="K4" s="106"/>
      <c r="L4" s="113" t="s">
        <v>75</v>
      </c>
      <c r="M4" s="114"/>
      <c r="N4" s="114"/>
      <c r="O4" s="114"/>
      <c r="P4" s="114"/>
      <c r="Q4" s="114"/>
      <c r="R4" s="114"/>
      <c r="S4" s="115"/>
    </row>
    <row r="5" spans="1:19" ht="18" thickBot="1" x14ac:dyDescent="0.35">
      <c r="B5" s="5" t="s">
        <v>14</v>
      </c>
      <c r="C5" s="2"/>
      <c r="D5" s="5" t="s">
        <v>15</v>
      </c>
      <c r="E5" s="2"/>
      <c r="F5" s="2"/>
      <c r="G5" s="39" t="s">
        <v>56</v>
      </c>
      <c r="H5" s="123"/>
      <c r="I5" s="117"/>
      <c r="J5" s="107"/>
      <c r="K5" s="108"/>
      <c r="L5" s="119" t="s">
        <v>85</v>
      </c>
      <c r="M5" s="120"/>
      <c r="N5" s="120" t="s">
        <v>78</v>
      </c>
      <c r="O5" s="120"/>
      <c r="P5" s="120" t="s">
        <v>76</v>
      </c>
      <c r="Q5" s="120"/>
      <c r="R5" s="120" t="s">
        <v>79</v>
      </c>
      <c r="S5" s="121"/>
    </row>
    <row r="6" spans="1:19" ht="15.6" thickBot="1" x14ac:dyDescent="0.3">
      <c r="B6" s="12">
        <v>30</v>
      </c>
      <c r="C6" s="2"/>
      <c r="D6" s="12">
        <v>30</v>
      </c>
      <c r="E6" s="2"/>
      <c r="F6" s="2"/>
      <c r="G6" s="5" t="s">
        <v>54</v>
      </c>
      <c r="H6" s="7" t="s">
        <v>49</v>
      </c>
      <c r="I6" s="7" t="s">
        <v>45</v>
      </c>
      <c r="J6" s="23">
        <f>($B$6/1000+$D$6/1000)*$B$9*300</f>
        <v>3239.9999999999995</v>
      </c>
      <c r="K6" s="5" t="s">
        <v>8</v>
      </c>
      <c r="L6" s="61">
        <f>ROUNDUP((J6/300),0)</f>
        <v>11</v>
      </c>
      <c r="M6" s="5" t="s">
        <v>9</v>
      </c>
      <c r="N6" s="32">
        <f>ROUNDUP((J6/1500),0)</f>
        <v>3</v>
      </c>
      <c r="O6" s="5" t="s">
        <v>9</v>
      </c>
      <c r="P6" s="32">
        <f>ROUNDUP((J6/3000),0)</f>
        <v>2</v>
      </c>
      <c r="Q6" s="5" t="s">
        <v>9</v>
      </c>
      <c r="R6" s="32">
        <f>ROUNDUP((J6/14000),0)</f>
        <v>1</v>
      </c>
      <c r="S6" s="9" t="s">
        <v>9</v>
      </c>
    </row>
    <row r="7" spans="1:19" ht="15.6" thickBot="1" x14ac:dyDescent="0.3">
      <c r="B7" s="2"/>
      <c r="C7" s="2"/>
      <c r="D7" s="2"/>
      <c r="E7" s="2"/>
      <c r="F7" s="2"/>
      <c r="G7" s="14" t="s">
        <v>55</v>
      </c>
      <c r="H7" s="15" t="s">
        <v>49</v>
      </c>
      <c r="I7" s="15" t="s">
        <v>45</v>
      </c>
      <c r="J7" s="24">
        <f>($B$6/1000+$D$6/1000)*$B$9*300</f>
        <v>3239.9999999999995</v>
      </c>
      <c r="K7" s="17" t="s">
        <v>8</v>
      </c>
      <c r="L7" s="62">
        <f>ROUNDUP((J7/300),0)</f>
        <v>11</v>
      </c>
      <c r="M7" s="18" t="s">
        <v>9</v>
      </c>
      <c r="N7" s="63">
        <f>ROUNDUP((J7/1500),0)</f>
        <v>3</v>
      </c>
      <c r="O7" s="18" t="s">
        <v>9</v>
      </c>
      <c r="P7" s="63">
        <f>ROUNDUP((J7/3000),0)</f>
        <v>2</v>
      </c>
      <c r="Q7" s="18" t="s">
        <v>9</v>
      </c>
      <c r="R7" s="63">
        <f>ROUNDUP((J7/14000),0)</f>
        <v>1</v>
      </c>
      <c r="S7" s="19" t="s">
        <v>9</v>
      </c>
    </row>
    <row r="8" spans="1:19" ht="16.2" thickBot="1" x14ac:dyDescent="0.35">
      <c r="B8" s="5" t="s">
        <v>16</v>
      </c>
      <c r="C8" s="2"/>
      <c r="D8" s="2"/>
      <c r="E8" s="2"/>
      <c r="F8" s="2"/>
      <c r="G8" s="20" t="s">
        <v>11</v>
      </c>
      <c r="H8" s="21" t="s">
        <v>50</v>
      </c>
      <c r="I8" s="21" t="s">
        <v>47</v>
      </c>
      <c r="J8" s="97">
        <f>SUM(J6:J7)</f>
        <v>6479.9999999999991</v>
      </c>
      <c r="K8" s="5" t="s">
        <v>8</v>
      </c>
      <c r="L8" s="37"/>
      <c r="N8" s="37"/>
      <c r="P8" s="37"/>
    </row>
    <row r="9" spans="1:19" ht="16.2" thickBot="1" x14ac:dyDescent="0.35">
      <c r="B9" s="12">
        <v>180</v>
      </c>
      <c r="C9" s="2"/>
      <c r="D9" s="2"/>
      <c r="E9" s="2"/>
      <c r="F9" s="2"/>
      <c r="G9" s="20"/>
      <c r="H9" s="21"/>
      <c r="I9" s="21"/>
      <c r="J9" s="86">
        <f>J8/1000</f>
        <v>6.4799999999999986</v>
      </c>
      <c r="K9" s="2" t="s">
        <v>107</v>
      </c>
      <c r="L9" s="2"/>
      <c r="M9" s="2"/>
      <c r="N9" s="2"/>
      <c r="O9" s="2"/>
      <c r="P9" s="2"/>
      <c r="Q9" s="2"/>
      <c r="R9" s="2"/>
      <c r="S9" s="2"/>
    </row>
    <row r="10" spans="1:19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5.6" thickBot="1" x14ac:dyDescent="0.3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20.399999999999999" x14ac:dyDescent="0.35">
      <c r="B15" s="4" t="s">
        <v>109</v>
      </c>
      <c r="C15" s="2"/>
      <c r="D15" s="2"/>
      <c r="E15" s="2"/>
      <c r="F15" s="2"/>
      <c r="G15" s="2"/>
      <c r="H15" s="2"/>
      <c r="I15" s="81" t="s">
        <v>5</v>
      </c>
      <c r="J15" s="81"/>
      <c r="K15" s="2"/>
      <c r="L15" s="113" t="s">
        <v>75</v>
      </c>
      <c r="M15" s="114"/>
      <c r="N15" s="114"/>
      <c r="O15" s="114"/>
      <c r="P15" s="114"/>
      <c r="Q15" s="114"/>
      <c r="R15" s="114"/>
      <c r="S15" s="115"/>
    </row>
    <row r="16" spans="1:19" ht="18" thickBot="1" x14ac:dyDescent="0.35">
      <c r="B16" s="5" t="s">
        <v>1</v>
      </c>
      <c r="C16" s="5" t="s">
        <v>2</v>
      </c>
      <c r="D16" s="6" t="s">
        <v>3</v>
      </c>
      <c r="E16" s="5" t="s">
        <v>4</v>
      </c>
      <c r="F16" s="2"/>
      <c r="G16" s="30"/>
      <c r="H16" s="39" t="s">
        <v>56</v>
      </c>
      <c r="I16" s="60" t="s">
        <v>52</v>
      </c>
      <c r="J16" s="109" t="s">
        <v>57</v>
      </c>
      <c r="K16" s="110"/>
      <c r="L16" s="119" t="s">
        <v>85</v>
      </c>
      <c r="M16" s="120"/>
      <c r="N16" s="120" t="s">
        <v>78</v>
      </c>
      <c r="O16" s="120"/>
      <c r="P16" s="120" t="s">
        <v>76</v>
      </c>
      <c r="Q16" s="120"/>
      <c r="R16" s="120" t="s">
        <v>79</v>
      </c>
      <c r="S16" s="121"/>
    </row>
    <row r="17" spans="2:19" ht="15.6" thickBot="1" x14ac:dyDescent="0.3">
      <c r="B17" s="10">
        <v>0</v>
      </c>
      <c r="C17" s="11">
        <v>0</v>
      </c>
      <c r="D17" s="2"/>
      <c r="E17" s="12">
        <v>50</v>
      </c>
      <c r="F17" s="82"/>
      <c r="G17" s="82" t="s">
        <v>95</v>
      </c>
      <c r="H17" s="99" t="s">
        <v>97</v>
      </c>
      <c r="I17" s="7" t="s">
        <v>45</v>
      </c>
      <c r="J17" s="13">
        <f>IF($B$17*$C$17=0,$E$17*300,$B$17*$C$17*300)</f>
        <v>15000</v>
      </c>
      <c r="K17" s="5" t="s">
        <v>8</v>
      </c>
      <c r="L17" s="61">
        <f>ROUNDUP(($J$17/300),0)</f>
        <v>50</v>
      </c>
      <c r="M17" s="37" t="s">
        <v>9</v>
      </c>
      <c r="N17" s="32">
        <f>ROUNDUP(($J$17/1500),0)</f>
        <v>10</v>
      </c>
      <c r="O17" s="37" t="s">
        <v>9</v>
      </c>
      <c r="P17" s="32">
        <f>ROUNDUP(($J$17/3000),0)</f>
        <v>5</v>
      </c>
      <c r="Q17" s="5" t="s">
        <v>9</v>
      </c>
      <c r="R17" s="32">
        <f>ROUNDUP((J17/14000),0)</f>
        <v>2</v>
      </c>
      <c r="S17" s="9" t="s">
        <v>9</v>
      </c>
    </row>
    <row r="18" spans="2:19" ht="15.6" thickBot="1" x14ac:dyDescent="0.3">
      <c r="B18" s="2"/>
      <c r="C18" s="2"/>
      <c r="D18" s="2"/>
      <c r="E18" s="2"/>
      <c r="F18" s="82"/>
      <c r="G18" s="82" t="s">
        <v>96</v>
      </c>
      <c r="H18" s="5" t="s">
        <v>97</v>
      </c>
      <c r="I18" s="7" t="s">
        <v>45</v>
      </c>
      <c r="J18" s="13">
        <f>IF($B$17*$C$17=0,$E$17*300,$B$17*$C$17*300)</f>
        <v>15000</v>
      </c>
      <c r="K18" s="5" t="s">
        <v>8</v>
      </c>
      <c r="L18" s="62">
        <f>ROUNDUP(($J$18/300),0)</f>
        <v>50</v>
      </c>
      <c r="M18" s="83" t="s">
        <v>9</v>
      </c>
      <c r="N18" s="63">
        <f>ROUNDUP((J$18/1500),0)</f>
        <v>10</v>
      </c>
      <c r="O18" s="83" t="s">
        <v>9</v>
      </c>
      <c r="P18" s="63">
        <f>ROUNDUP(($J$18/3000),0)</f>
        <v>5</v>
      </c>
      <c r="Q18" s="18" t="s">
        <v>9</v>
      </c>
      <c r="R18" s="63">
        <f>ROUNDUP((J18/14000),0)</f>
        <v>2</v>
      </c>
      <c r="S18" s="19" t="s">
        <v>9</v>
      </c>
    </row>
    <row r="19" spans="2:19" ht="15.6" x14ac:dyDescent="0.3">
      <c r="B19" s="2"/>
      <c r="C19" s="2"/>
      <c r="D19" s="2"/>
      <c r="E19" s="2"/>
      <c r="F19" s="82"/>
      <c r="G19" s="100"/>
      <c r="H19" s="101" t="s">
        <v>11</v>
      </c>
      <c r="I19" s="102" t="s">
        <v>12</v>
      </c>
      <c r="J19" s="98">
        <f>SUM(J17:J18)</f>
        <v>30000</v>
      </c>
      <c r="K19" s="103" t="s">
        <v>8</v>
      </c>
      <c r="L19" s="32"/>
      <c r="N19" s="32"/>
      <c r="P19" s="32"/>
      <c r="R19" s="32"/>
    </row>
    <row r="20" spans="2:19" ht="15.6" x14ac:dyDescent="0.3">
      <c r="B20" s="2"/>
      <c r="C20" s="2"/>
      <c r="D20" s="2"/>
      <c r="E20" s="2"/>
      <c r="F20" s="82"/>
      <c r="G20" s="82"/>
      <c r="H20" s="20"/>
      <c r="I20" s="21"/>
      <c r="J20" s="86">
        <f>J19/1000</f>
        <v>30</v>
      </c>
      <c r="K20" s="2" t="s">
        <v>107</v>
      </c>
      <c r="L20" s="32"/>
      <c r="N20" s="32"/>
      <c r="P20" s="32"/>
      <c r="R20" s="32"/>
    </row>
    <row r="21" spans="2:19" ht="15.6" x14ac:dyDescent="0.3">
      <c r="B21" s="2"/>
      <c r="C21" s="2"/>
      <c r="D21" s="2"/>
      <c r="E21" s="2"/>
      <c r="F21" s="2"/>
      <c r="G21" s="2"/>
      <c r="H21" s="20"/>
      <c r="I21" s="21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2:19" ht="15" customHeight="1" x14ac:dyDescent="0.25">
      <c r="B22" s="104" t="s">
        <v>113</v>
      </c>
      <c r="C22" s="104"/>
      <c r="D22" s="104"/>
      <c r="E22" s="104"/>
      <c r="F22" s="104"/>
      <c r="G22" s="104"/>
    </row>
    <row r="23" spans="2:19" ht="15" customHeight="1" x14ac:dyDescent="0.25">
      <c r="B23" s="104"/>
      <c r="C23" s="104"/>
      <c r="D23" s="104"/>
      <c r="E23" s="104"/>
      <c r="F23" s="104"/>
      <c r="G23" s="104"/>
    </row>
    <row r="24" spans="2:19" ht="15" customHeight="1" x14ac:dyDescent="0.25">
      <c r="B24" s="104"/>
      <c r="C24" s="104"/>
      <c r="D24" s="104"/>
      <c r="E24" s="104"/>
      <c r="F24" s="104"/>
      <c r="G24" s="104"/>
    </row>
    <row r="25" spans="2:19" ht="15" customHeight="1" x14ac:dyDescent="0.25">
      <c r="B25" s="104"/>
      <c r="C25" s="104"/>
      <c r="D25" s="104"/>
      <c r="E25" s="104"/>
      <c r="F25" s="104"/>
      <c r="G25" s="104"/>
    </row>
    <row r="26" spans="2:19" ht="15" customHeight="1" x14ac:dyDescent="0.25">
      <c r="B26" s="104"/>
      <c r="C26" s="104"/>
      <c r="D26" s="104"/>
      <c r="E26" s="104"/>
      <c r="F26" s="104"/>
      <c r="G26" s="104"/>
    </row>
    <row r="27" spans="2:19" ht="15" customHeight="1" x14ac:dyDescent="0.25">
      <c r="B27" s="104"/>
      <c r="C27" s="104"/>
      <c r="D27" s="104"/>
      <c r="E27" s="104"/>
      <c r="F27" s="104"/>
      <c r="G27" s="104"/>
    </row>
    <row r="28" spans="2:19" ht="15" customHeight="1" x14ac:dyDescent="0.25">
      <c r="B28" s="104"/>
      <c r="C28" s="104"/>
      <c r="D28" s="104"/>
      <c r="E28" s="104"/>
      <c r="F28" s="104"/>
      <c r="G28" s="104"/>
    </row>
    <row r="29" spans="2:19" ht="20.399999999999999" customHeight="1" x14ac:dyDescent="0.25">
      <c r="B29" s="104"/>
      <c r="C29" s="104"/>
      <c r="D29" s="104"/>
      <c r="E29" s="104"/>
      <c r="F29" s="104"/>
      <c r="G29" s="104"/>
    </row>
    <row r="30" spans="2:19" ht="18.600000000000001" customHeight="1" x14ac:dyDescent="0.35">
      <c r="B30" s="26" t="s">
        <v>17</v>
      </c>
      <c r="C30" s="65"/>
      <c r="D30" s="65"/>
      <c r="E30" s="65"/>
      <c r="F30" s="65"/>
      <c r="G30" s="65"/>
    </row>
    <row r="31" spans="2:19" ht="20.399999999999999" x14ac:dyDescent="0.35">
      <c r="B31" s="26"/>
    </row>
  </sheetData>
  <mergeCells count="16">
    <mergeCell ref="H3:K3"/>
    <mergeCell ref="L5:M5"/>
    <mergeCell ref="N5:O5"/>
    <mergeCell ref="P5:Q5"/>
    <mergeCell ref="R5:S5"/>
    <mergeCell ref="B22:G29"/>
    <mergeCell ref="H4:H5"/>
    <mergeCell ref="L4:S4"/>
    <mergeCell ref="I4:I5"/>
    <mergeCell ref="J4:K5"/>
    <mergeCell ref="L15:S15"/>
    <mergeCell ref="J16:K16"/>
    <mergeCell ref="P16:Q16"/>
    <mergeCell ref="R16:S16"/>
    <mergeCell ref="L16:M16"/>
    <mergeCell ref="N16:O1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212CF-41EE-4BDB-9BF0-93E0CE50522E}">
  <dimension ref="A1:T31"/>
  <sheetViews>
    <sheetView zoomScale="85" zoomScaleNormal="85" workbookViewId="0">
      <selection activeCell="F5" sqref="F5"/>
    </sheetView>
  </sheetViews>
  <sheetFormatPr defaultRowHeight="14.4" x14ac:dyDescent="0.3"/>
  <cols>
    <col min="2" max="2" width="14.88671875" customWidth="1"/>
    <col min="3" max="4" width="16.6640625" customWidth="1"/>
    <col min="6" max="6" width="11.33203125" customWidth="1"/>
    <col min="8" max="8" width="34.109375" customWidth="1"/>
    <col min="9" max="9" width="15.88671875" customWidth="1"/>
    <col min="14" max="14" width="10" bestFit="1" customWidth="1"/>
    <col min="16" max="16" width="8.88671875" customWidth="1"/>
    <col min="17" max="17" width="9.6640625" customWidth="1"/>
  </cols>
  <sheetData>
    <row r="1" spans="1:20" ht="27.6" x14ac:dyDescent="0.45">
      <c r="A1" s="1" t="s">
        <v>33</v>
      </c>
      <c r="B1" s="34"/>
      <c r="C1" s="34"/>
      <c r="D1" s="34"/>
      <c r="E1" s="2"/>
      <c r="F1" s="2"/>
      <c r="G1" s="2"/>
      <c r="H1" s="3">
        <v>44314</v>
      </c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2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0.399999999999999" x14ac:dyDescent="0.35">
      <c r="A3" s="2"/>
      <c r="B3" s="4" t="s">
        <v>34</v>
      </c>
      <c r="C3" s="96" t="s">
        <v>35</v>
      </c>
      <c r="D3" s="2"/>
      <c r="E3" s="2"/>
      <c r="F3" s="2"/>
      <c r="G3" s="2"/>
      <c r="H3" s="2"/>
      <c r="I3" s="2"/>
      <c r="J3" s="2"/>
      <c r="K3" s="2"/>
      <c r="L3" s="113" t="s">
        <v>75</v>
      </c>
      <c r="M3" s="114"/>
      <c r="N3" s="114"/>
      <c r="O3" s="114"/>
      <c r="P3" s="114"/>
      <c r="Q3" s="114"/>
      <c r="R3" s="114"/>
      <c r="S3" s="115"/>
      <c r="T3" s="2"/>
    </row>
    <row r="4" spans="1:20" ht="18" thickBot="1" x14ac:dyDescent="0.35">
      <c r="A4" s="2"/>
      <c r="B4" s="5" t="s">
        <v>36</v>
      </c>
      <c r="C4" s="5" t="s">
        <v>1</v>
      </c>
      <c r="D4" s="5" t="s">
        <v>2</v>
      </c>
      <c r="E4" s="6" t="s">
        <v>3</v>
      </c>
      <c r="F4" s="5" t="s">
        <v>4</v>
      </c>
      <c r="G4" s="2"/>
      <c r="H4" s="39" t="s">
        <v>56</v>
      </c>
      <c r="I4" s="39" t="s">
        <v>61</v>
      </c>
      <c r="J4" s="125" t="s">
        <v>57</v>
      </c>
      <c r="K4" s="126"/>
      <c r="L4" s="119" t="s">
        <v>77</v>
      </c>
      <c r="M4" s="120"/>
      <c r="N4" s="120" t="s">
        <v>78</v>
      </c>
      <c r="O4" s="120"/>
      <c r="P4" s="120" t="s">
        <v>76</v>
      </c>
      <c r="Q4" s="120"/>
      <c r="R4" s="120" t="s">
        <v>79</v>
      </c>
      <c r="S4" s="121"/>
      <c r="T4" s="2"/>
    </row>
    <row r="5" spans="1:20" ht="16.2" thickBot="1" x14ac:dyDescent="0.35">
      <c r="A5" s="2"/>
      <c r="B5" s="2"/>
      <c r="C5" s="35"/>
      <c r="D5" s="35"/>
      <c r="E5" s="2"/>
      <c r="F5" s="12">
        <v>6</v>
      </c>
      <c r="G5" s="2"/>
      <c r="H5" s="5" t="s">
        <v>37</v>
      </c>
      <c r="I5" s="5" t="s">
        <v>7</v>
      </c>
      <c r="J5" s="13">
        <f>IF($C$5*$D$5=0,$F$5*200,$C$5*$D$5*200)</f>
        <v>1200</v>
      </c>
      <c r="K5" s="5" t="s">
        <v>8</v>
      </c>
      <c r="L5" s="8">
        <f>ROUNDUP(($J$5/320),0)</f>
        <v>4</v>
      </c>
      <c r="M5" s="5" t="s">
        <v>9</v>
      </c>
      <c r="N5" s="5">
        <f>ROUNDUP((J5/1500),0)</f>
        <v>1</v>
      </c>
      <c r="O5" s="5" t="s">
        <v>9</v>
      </c>
      <c r="P5" s="5">
        <f>ROUNDUP((J5/3000),0)</f>
        <v>1</v>
      </c>
      <c r="Q5" s="5" t="s">
        <v>9</v>
      </c>
      <c r="R5" s="32">
        <f>ROUNDUP((J5/14000),0)</f>
        <v>1</v>
      </c>
      <c r="S5" s="9" t="s">
        <v>9</v>
      </c>
      <c r="T5" s="2"/>
    </row>
    <row r="6" spans="1:20" ht="15.6" x14ac:dyDescent="0.3">
      <c r="A6" s="2"/>
      <c r="B6" s="2"/>
      <c r="C6" s="2"/>
      <c r="D6" s="2"/>
      <c r="E6" s="2"/>
      <c r="F6" s="2"/>
      <c r="G6" s="2"/>
      <c r="H6" s="5" t="s">
        <v>110</v>
      </c>
      <c r="I6" s="5" t="s">
        <v>58</v>
      </c>
      <c r="J6" s="13">
        <f>IF($C$5*$D$5=0,$F$5*400,$C$5*$D$5*400)</f>
        <v>2400</v>
      </c>
      <c r="K6" s="5" t="s">
        <v>8</v>
      </c>
      <c r="L6" s="8">
        <f>ROUNDUP(($J$6/320),0)</f>
        <v>8</v>
      </c>
      <c r="M6" s="5" t="s">
        <v>9</v>
      </c>
      <c r="N6" s="5">
        <f t="shared" ref="N6:N8" si="0">ROUNDUP((J6/1500),0)</f>
        <v>2</v>
      </c>
      <c r="O6" s="5" t="s">
        <v>9</v>
      </c>
      <c r="P6" s="5">
        <f t="shared" ref="P6:P8" si="1">ROUNDUP((J6/3000),0)</f>
        <v>1</v>
      </c>
      <c r="Q6" s="5" t="s">
        <v>9</v>
      </c>
      <c r="R6" s="32">
        <f t="shared" ref="R6:R8" si="2">ROUNDUP((J6/14000),0)</f>
        <v>1</v>
      </c>
      <c r="S6" s="9" t="s">
        <v>9</v>
      </c>
      <c r="T6" s="2"/>
    </row>
    <row r="7" spans="1:20" ht="17.399999999999999" x14ac:dyDescent="0.3">
      <c r="A7" s="2"/>
      <c r="B7" s="2"/>
      <c r="C7" s="2"/>
      <c r="D7" s="2"/>
      <c r="E7" s="2"/>
      <c r="F7" s="2"/>
      <c r="G7" s="2"/>
      <c r="H7" s="95" t="s">
        <v>100</v>
      </c>
      <c r="I7" s="92" t="s">
        <v>47</v>
      </c>
      <c r="J7" s="92">
        <f>SUM(J5:J6)</f>
        <v>3600</v>
      </c>
      <c r="K7" s="93"/>
      <c r="L7" s="8"/>
      <c r="M7" s="5"/>
      <c r="N7" s="5"/>
      <c r="O7" s="5"/>
      <c r="P7" s="5"/>
      <c r="Q7" s="5"/>
      <c r="R7" s="32"/>
      <c r="S7" s="9"/>
      <c r="T7" s="2"/>
    </row>
    <row r="8" spans="1:20" ht="18" thickBot="1" x14ac:dyDescent="0.35">
      <c r="A8" s="2"/>
      <c r="B8" s="2"/>
      <c r="C8" s="2"/>
      <c r="D8" s="2"/>
      <c r="E8" s="2"/>
      <c r="F8" s="2"/>
      <c r="G8" s="2"/>
      <c r="H8" s="14" t="s">
        <v>43</v>
      </c>
      <c r="I8" s="14" t="s">
        <v>7</v>
      </c>
      <c r="J8" s="14">
        <f>IF($C$5*$D$5=0,$F$5*200,$C$5*$D$5*200)</f>
        <v>1200</v>
      </c>
      <c r="K8" s="17" t="s">
        <v>8</v>
      </c>
      <c r="L8" s="90">
        <f t="shared" ref="L8" si="3">ROUNDUP(($J$5/320),0)</f>
        <v>4</v>
      </c>
      <c r="M8" s="18" t="s">
        <v>9</v>
      </c>
      <c r="N8" s="18">
        <f t="shared" si="0"/>
        <v>1</v>
      </c>
      <c r="O8" s="18" t="s">
        <v>9</v>
      </c>
      <c r="P8" s="18">
        <f t="shared" si="1"/>
        <v>1</v>
      </c>
      <c r="Q8" s="18" t="s">
        <v>9</v>
      </c>
      <c r="R8" s="63">
        <f t="shared" si="2"/>
        <v>1</v>
      </c>
      <c r="S8" s="19" t="s">
        <v>38</v>
      </c>
      <c r="T8" s="2"/>
    </row>
    <row r="9" spans="1:20" ht="17.399999999999999" x14ac:dyDescent="0.3">
      <c r="A9" s="2"/>
      <c r="B9" s="2"/>
      <c r="C9" s="2"/>
      <c r="D9" s="2"/>
      <c r="E9" s="2"/>
      <c r="F9" s="2"/>
      <c r="G9" s="2"/>
      <c r="H9" s="94" t="s">
        <v>99</v>
      </c>
      <c r="I9" s="91" t="s">
        <v>98</v>
      </c>
      <c r="J9" s="91">
        <f>SUM(J7:J8)</f>
        <v>4800</v>
      </c>
      <c r="K9" s="91"/>
      <c r="L9" s="91"/>
      <c r="M9" s="91"/>
      <c r="N9" s="91"/>
      <c r="O9" s="91"/>
      <c r="P9" s="91"/>
      <c r="Q9" s="91"/>
      <c r="R9" s="91"/>
      <c r="S9" s="91"/>
      <c r="T9" s="2"/>
    </row>
    <row r="10" spans="1:20" ht="16.2" thickBo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20.399999999999999" x14ac:dyDescent="0.35">
      <c r="A11" s="2"/>
      <c r="B11" s="4" t="s">
        <v>39</v>
      </c>
      <c r="C11" s="96" t="s">
        <v>40</v>
      </c>
      <c r="D11" s="2"/>
      <c r="E11" s="2"/>
      <c r="F11" s="2"/>
      <c r="G11" s="2"/>
      <c r="H11" s="2"/>
      <c r="I11" s="2"/>
      <c r="J11" s="2"/>
      <c r="K11" s="2"/>
      <c r="L11" s="113" t="s">
        <v>75</v>
      </c>
      <c r="M11" s="114"/>
      <c r="N11" s="114"/>
      <c r="O11" s="114"/>
      <c r="P11" s="114"/>
      <c r="Q11" s="114"/>
      <c r="R11" s="114"/>
      <c r="S11" s="115"/>
      <c r="T11" s="2"/>
    </row>
    <row r="12" spans="1:20" ht="18" thickBot="1" x14ac:dyDescent="0.35">
      <c r="A12" s="2"/>
      <c r="B12" s="5" t="s">
        <v>36</v>
      </c>
      <c r="C12" s="5" t="s">
        <v>41</v>
      </c>
      <c r="D12" s="5" t="s">
        <v>2</v>
      </c>
      <c r="E12" s="6" t="s">
        <v>3</v>
      </c>
      <c r="F12" s="5" t="s">
        <v>4</v>
      </c>
      <c r="G12" s="2"/>
      <c r="H12" s="39" t="s">
        <v>56</v>
      </c>
      <c r="I12" s="39" t="s">
        <v>61</v>
      </c>
      <c r="J12" s="125" t="s">
        <v>57</v>
      </c>
      <c r="K12" s="126"/>
      <c r="L12" s="119" t="s">
        <v>77</v>
      </c>
      <c r="M12" s="120"/>
      <c r="N12" s="120" t="s">
        <v>78</v>
      </c>
      <c r="O12" s="120"/>
      <c r="P12" s="120" t="s">
        <v>76</v>
      </c>
      <c r="Q12" s="120"/>
      <c r="R12" s="120" t="s">
        <v>79</v>
      </c>
      <c r="S12" s="121"/>
      <c r="T12" s="2"/>
    </row>
    <row r="13" spans="1:20" ht="16.2" thickBot="1" x14ac:dyDescent="0.35">
      <c r="A13" s="2"/>
      <c r="B13" s="2"/>
      <c r="C13" s="35">
        <v>0</v>
      </c>
      <c r="D13" s="35">
        <v>0</v>
      </c>
      <c r="E13" s="2"/>
      <c r="F13" s="12">
        <v>26</v>
      </c>
      <c r="G13" s="2"/>
      <c r="H13" s="5" t="s">
        <v>37</v>
      </c>
      <c r="I13" s="5" t="s">
        <v>59</v>
      </c>
      <c r="J13" s="13">
        <f>IF($C$13*$D$13=0,$F$13*150,$C$13*$D$13*150)</f>
        <v>3900</v>
      </c>
      <c r="K13" s="5" t="s">
        <v>8</v>
      </c>
      <c r="L13" s="61">
        <f>ROUNDUP((J13/320),0)</f>
        <v>13</v>
      </c>
      <c r="M13" s="5" t="s">
        <v>9</v>
      </c>
      <c r="N13" s="5">
        <f>ROUNDUP((J13/1500),0)</f>
        <v>3</v>
      </c>
      <c r="O13" s="5" t="s">
        <v>9</v>
      </c>
      <c r="P13" s="5">
        <f>ROUNDUP((J13/3000),0)</f>
        <v>2</v>
      </c>
      <c r="Q13" s="5" t="s">
        <v>9</v>
      </c>
      <c r="R13" s="32">
        <f>ROUNDUP((J13/14000),0)</f>
        <v>1</v>
      </c>
      <c r="S13" s="9" t="s">
        <v>9</v>
      </c>
      <c r="T13" s="2"/>
    </row>
    <row r="14" spans="1:20" ht="16.2" thickBot="1" x14ac:dyDescent="0.35">
      <c r="A14" s="2"/>
      <c r="B14" s="2"/>
      <c r="C14" s="2"/>
      <c r="D14" s="2"/>
      <c r="E14" s="2"/>
      <c r="F14" s="2"/>
      <c r="G14" s="2"/>
      <c r="H14" s="14" t="s">
        <v>42</v>
      </c>
      <c r="I14" s="14" t="s">
        <v>60</v>
      </c>
      <c r="J14" s="16">
        <f>IF($C$13*$D$13=0,$F$13*250,$C$13*$D$13*250)</f>
        <v>6500</v>
      </c>
      <c r="K14" s="17" t="s">
        <v>8</v>
      </c>
      <c r="L14" s="62">
        <f>ROUNDUP((J14/320),0)</f>
        <v>21</v>
      </c>
      <c r="M14" s="18" t="s">
        <v>9</v>
      </c>
      <c r="N14" s="18">
        <f>ROUNDUP((J14/1500),0)</f>
        <v>5</v>
      </c>
      <c r="O14" s="18" t="s">
        <v>9</v>
      </c>
      <c r="P14" s="18">
        <f>ROUNDUP((J14/3000),0)</f>
        <v>3</v>
      </c>
      <c r="Q14" s="18" t="s">
        <v>9</v>
      </c>
      <c r="R14" s="63">
        <f>ROUNDUP((J14/14000),0)</f>
        <v>1</v>
      </c>
      <c r="S14" s="19" t="s">
        <v>9</v>
      </c>
      <c r="T14" s="2"/>
    </row>
    <row r="15" spans="1:20" ht="15.6" x14ac:dyDescent="0.3">
      <c r="A15" s="2"/>
      <c r="B15" s="2"/>
      <c r="C15" s="2"/>
      <c r="D15" s="2"/>
      <c r="E15" s="2"/>
      <c r="F15" s="2"/>
      <c r="G15" s="2"/>
      <c r="H15" s="20" t="s">
        <v>11</v>
      </c>
      <c r="I15" s="2" t="s">
        <v>58</v>
      </c>
      <c r="J15" s="2">
        <f>SUM(J13:J14)</f>
        <v>10400</v>
      </c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5.6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5.6" customHeight="1" x14ac:dyDescent="0.3">
      <c r="A17" s="2"/>
      <c r="B17" s="65"/>
      <c r="C17" s="65"/>
      <c r="D17" s="65"/>
      <c r="E17" s="65"/>
      <c r="F17" s="65"/>
      <c r="G17" s="65"/>
      <c r="H17" s="65"/>
      <c r="I17" s="2"/>
      <c r="J17" s="2"/>
      <c r="K17" s="2"/>
      <c r="L17" s="2"/>
      <c r="M17" s="2"/>
      <c r="Q17" s="85"/>
      <c r="R17" s="2"/>
      <c r="S17" s="2"/>
      <c r="T17" s="2"/>
    </row>
    <row r="18" spans="1:20" ht="15.6" customHeight="1" x14ac:dyDescent="0.3">
      <c r="A18" s="2"/>
      <c r="B18" s="104" t="s">
        <v>113</v>
      </c>
      <c r="C18" s="104"/>
      <c r="D18" s="104"/>
      <c r="E18" s="104"/>
      <c r="F18" s="104"/>
      <c r="G18" s="104"/>
      <c r="H18" s="104"/>
      <c r="I18" s="2"/>
      <c r="J18" s="2"/>
      <c r="K18" s="2"/>
      <c r="L18" s="2"/>
      <c r="M18" s="2"/>
      <c r="P18" s="2"/>
      <c r="Q18" s="85"/>
      <c r="R18" s="2"/>
      <c r="S18" s="2"/>
      <c r="T18" s="2"/>
    </row>
    <row r="19" spans="1:20" ht="15.6" customHeight="1" x14ac:dyDescent="0.3">
      <c r="A19" s="2"/>
      <c r="B19" s="104"/>
      <c r="C19" s="104"/>
      <c r="D19" s="104"/>
      <c r="E19" s="104"/>
      <c r="F19" s="104"/>
      <c r="G19" s="104"/>
      <c r="H19" s="104"/>
      <c r="I19" s="2"/>
      <c r="J19" s="2"/>
      <c r="K19" s="2"/>
      <c r="L19" s="2"/>
      <c r="M19" s="2"/>
      <c r="P19" s="2"/>
      <c r="Q19" s="85"/>
      <c r="R19" s="2"/>
      <c r="S19" s="2"/>
      <c r="T19" s="2"/>
    </row>
    <row r="20" spans="1:20" ht="15.6" customHeight="1" x14ac:dyDescent="0.3">
      <c r="A20" s="2"/>
      <c r="B20" s="104"/>
      <c r="C20" s="104"/>
      <c r="D20" s="104"/>
      <c r="E20" s="104"/>
      <c r="F20" s="104"/>
      <c r="G20" s="104"/>
      <c r="H20" s="104"/>
      <c r="I20" s="2"/>
      <c r="J20" s="2"/>
      <c r="K20" s="2"/>
      <c r="L20" s="2"/>
      <c r="M20" s="2"/>
      <c r="P20" s="2"/>
      <c r="Q20" s="86"/>
      <c r="R20" s="2"/>
      <c r="S20" s="2"/>
      <c r="T20" s="2"/>
    </row>
    <row r="21" spans="1:20" ht="15.6" customHeight="1" x14ac:dyDescent="0.3">
      <c r="A21" s="2"/>
      <c r="B21" s="104"/>
      <c r="C21" s="104"/>
      <c r="D21" s="104"/>
      <c r="E21" s="104"/>
      <c r="F21" s="104"/>
      <c r="G21" s="104"/>
      <c r="H21" s="104"/>
      <c r="I21" s="2"/>
      <c r="J21" s="2"/>
      <c r="K21" s="2"/>
      <c r="L21" s="2"/>
      <c r="M21" s="2"/>
      <c r="P21" s="2"/>
      <c r="Q21" s="86"/>
      <c r="R21" s="2"/>
      <c r="S21" s="2"/>
      <c r="T21" s="2"/>
    </row>
    <row r="22" spans="1:20" ht="15.6" customHeight="1" x14ac:dyDescent="0.3">
      <c r="B22" s="104"/>
      <c r="C22" s="104"/>
      <c r="D22" s="104"/>
      <c r="E22" s="104"/>
      <c r="F22" s="104"/>
      <c r="G22" s="104"/>
      <c r="H22" s="104"/>
      <c r="J22" s="2"/>
      <c r="P22" s="2"/>
      <c r="Q22" s="2"/>
      <c r="R22" s="2"/>
      <c r="S22" s="2"/>
    </row>
    <row r="23" spans="1:20" ht="15.6" customHeight="1" x14ac:dyDescent="0.3">
      <c r="B23" s="104"/>
      <c r="C23" s="104"/>
      <c r="D23" s="104"/>
      <c r="E23" s="104"/>
      <c r="F23" s="104"/>
      <c r="G23" s="104"/>
      <c r="H23" s="104"/>
      <c r="M23" s="2"/>
    </row>
    <row r="24" spans="1:20" ht="15.6" customHeight="1" x14ac:dyDescent="0.3">
      <c r="B24" s="104"/>
      <c r="C24" s="104"/>
      <c r="D24" s="104"/>
      <c r="E24" s="104"/>
      <c r="F24" s="104"/>
      <c r="G24" s="104"/>
      <c r="H24" s="104"/>
      <c r="L24" s="2"/>
      <c r="M24" s="2"/>
    </row>
    <row r="25" spans="1:20" ht="15.6" customHeight="1" x14ac:dyDescent="0.3">
      <c r="B25" s="65"/>
      <c r="C25" s="65"/>
      <c r="D25" s="65"/>
      <c r="E25" s="65"/>
      <c r="F25" s="65"/>
      <c r="G25" s="65"/>
      <c r="H25" s="65"/>
      <c r="L25" s="2"/>
      <c r="M25" s="2"/>
      <c r="Q25" s="87"/>
    </row>
    <row r="26" spans="1:20" ht="20.399999999999999" x14ac:dyDescent="0.35">
      <c r="B26" s="26" t="s">
        <v>17</v>
      </c>
      <c r="L26" s="2"/>
      <c r="N26" s="68"/>
    </row>
    <row r="27" spans="1:20" ht="15.6" x14ac:dyDescent="0.3">
      <c r="M27" s="2"/>
    </row>
    <row r="28" spans="1:20" ht="15.6" x14ac:dyDescent="0.3">
      <c r="M28" s="2"/>
    </row>
    <row r="29" spans="1:20" ht="15.6" x14ac:dyDescent="0.3">
      <c r="M29" s="2"/>
    </row>
    <row r="30" spans="1:20" ht="15.6" x14ac:dyDescent="0.3">
      <c r="M30" s="2"/>
    </row>
    <row r="31" spans="1:20" ht="15.6" x14ac:dyDescent="0.3">
      <c r="M31" s="2"/>
    </row>
  </sheetData>
  <mergeCells count="13">
    <mergeCell ref="B18:H24"/>
    <mergeCell ref="J4:K4"/>
    <mergeCell ref="J12:K12"/>
    <mergeCell ref="L3:S3"/>
    <mergeCell ref="L11:S11"/>
    <mergeCell ref="L4:M4"/>
    <mergeCell ref="N4:O4"/>
    <mergeCell ref="P4:Q4"/>
    <mergeCell ref="R4:S4"/>
    <mergeCell ref="L12:M12"/>
    <mergeCell ref="N12:O12"/>
    <mergeCell ref="P12:Q12"/>
    <mergeCell ref="R12:S1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1ACE0-8409-4830-A138-FD46EEA71CAA}">
  <dimension ref="A1:R19"/>
  <sheetViews>
    <sheetView zoomScaleNormal="100" workbookViewId="0">
      <selection activeCell="B19" sqref="B19"/>
    </sheetView>
  </sheetViews>
  <sheetFormatPr defaultRowHeight="14.4" x14ac:dyDescent="0.3"/>
  <cols>
    <col min="1" max="1" width="9.109375" customWidth="1"/>
    <col min="8" max="8" width="13" customWidth="1"/>
    <col min="9" max="10" width="9.109375" customWidth="1"/>
    <col min="11" max="11" width="10.44140625" customWidth="1"/>
  </cols>
  <sheetData>
    <row r="1" spans="1:18" ht="27.6" x14ac:dyDescent="0.45">
      <c r="A1" s="1" t="s">
        <v>18</v>
      </c>
      <c r="B1" s="2"/>
      <c r="C1" s="2"/>
      <c r="D1" s="2"/>
      <c r="E1" s="2"/>
      <c r="F1" s="2"/>
      <c r="G1" s="2"/>
      <c r="H1" s="3">
        <v>44224</v>
      </c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6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6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6" x14ac:dyDescent="0.3">
      <c r="A4" s="2"/>
      <c r="B4" s="5" t="s">
        <v>19</v>
      </c>
      <c r="C4" s="2"/>
      <c r="D4" s="2"/>
      <c r="E4" s="2"/>
      <c r="F4" s="27"/>
      <c r="G4" s="2"/>
      <c r="H4" s="2"/>
      <c r="I4" s="2"/>
      <c r="J4" s="2"/>
      <c r="K4" s="27"/>
      <c r="L4" s="2"/>
      <c r="M4" s="2"/>
      <c r="N4" s="2"/>
      <c r="O4" s="2"/>
      <c r="P4" s="2"/>
      <c r="Q4" s="2"/>
      <c r="R4" s="2"/>
    </row>
    <row r="5" spans="1:18" ht="16.2" thickBot="1" x14ac:dyDescent="0.35">
      <c r="A5" s="2"/>
      <c r="B5" s="5" t="s">
        <v>20</v>
      </c>
      <c r="C5" s="2"/>
      <c r="D5" s="5" t="s">
        <v>21</v>
      </c>
      <c r="E5" s="5"/>
      <c r="F5" s="28"/>
      <c r="G5" s="5" t="s">
        <v>22</v>
      </c>
      <c r="H5" s="5"/>
      <c r="I5" s="5"/>
      <c r="J5" s="5" t="s">
        <v>23</v>
      </c>
      <c r="K5" s="28"/>
      <c r="L5" s="5"/>
      <c r="M5" s="5" t="s">
        <v>24</v>
      </c>
      <c r="N5" s="5"/>
      <c r="O5" s="2"/>
      <c r="P5" s="2"/>
      <c r="Q5" s="2"/>
      <c r="R5" s="2"/>
    </row>
    <row r="6" spans="1:18" ht="16.2" thickBot="1" x14ac:dyDescent="0.35">
      <c r="A6" s="2"/>
      <c r="B6" s="29">
        <v>95</v>
      </c>
      <c r="C6" s="5" t="s">
        <v>25</v>
      </c>
      <c r="D6" s="5">
        <f>B6*80</f>
        <v>7600</v>
      </c>
      <c r="E6" s="5" t="s">
        <v>8</v>
      </c>
      <c r="F6" s="28"/>
      <c r="G6" s="5">
        <f>(D6/160)*100</f>
        <v>4750</v>
      </c>
      <c r="H6" s="5" t="s">
        <v>8</v>
      </c>
      <c r="I6" s="5"/>
      <c r="J6" s="5">
        <f>D6*0.02</f>
        <v>152</v>
      </c>
      <c r="K6" s="28" t="s">
        <v>8</v>
      </c>
      <c r="L6" s="5"/>
      <c r="M6" s="5">
        <f>G6*0.6</f>
        <v>2850</v>
      </c>
      <c r="N6" s="5" t="s">
        <v>8</v>
      </c>
      <c r="O6" s="2"/>
      <c r="P6" s="2"/>
      <c r="Q6" s="2"/>
      <c r="R6" s="2"/>
    </row>
    <row r="7" spans="1:18" ht="15.6" x14ac:dyDescent="0.3">
      <c r="A7" s="2"/>
      <c r="B7" s="2"/>
      <c r="C7" s="2"/>
      <c r="D7" s="5"/>
      <c r="E7" s="5"/>
      <c r="F7" s="28"/>
      <c r="G7" s="5"/>
      <c r="H7" s="5"/>
      <c r="I7" s="5"/>
      <c r="J7" s="5"/>
      <c r="K7" s="28"/>
      <c r="L7" s="5"/>
      <c r="M7" s="5"/>
      <c r="N7" s="5"/>
      <c r="O7" s="2"/>
      <c r="P7" s="2"/>
      <c r="Q7" s="2"/>
      <c r="R7" s="2"/>
    </row>
    <row r="8" spans="1:18" ht="15.6" x14ac:dyDescent="0.3">
      <c r="A8" s="2"/>
      <c r="B8" s="30"/>
      <c r="C8" s="30"/>
      <c r="D8" s="14"/>
      <c r="E8" s="14"/>
      <c r="F8" s="31"/>
      <c r="G8" s="14"/>
      <c r="H8" s="14"/>
      <c r="I8" s="14"/>
      <c r="J8" s="14"/>
      <c r="K8" s="31"/>
      <c r="L8" s="14"/>
      <c r="M8" s="14"/>
      <c r="N8" s="14"/>
      <c r="O8" s="2"/>
      <c r="P8" s="2"/>
      <c r="Q8" s="2"/>
      <c r="R8" s="2"/>
    </row>
    <row r="9" spans="1:18" ht="16.2" thickBot="1" x14ac:dyDescent="0.35">
      <c r="A9" s="2"/>
      <c r="B9" s="2"/>
      <c r="C9" s="2"/>
      <c r="D9" s="5"/>
      <c r="E9" s="5"/>
      <c r="F9" s="28"/>
      <c r="G9" s="5"/>
      <c r="H9" s="5"/>
      <c r="I9" s="5"/>
      <c r="J9" s="5"/>
      <c r="K9" s="28"/>
      <c r="L9" s="5"/>
      <c r="M9" s="5"/>
      <c r="N9" s="5"/>
      <c r="O9" s="2"/>
      <c r="P9" s="2"/>
      <c r="Q9" s="2"/>
      <c r="R9" s="2"/>
    </row>
    <row r="10" spans="1:18" ht="15.6" x14ac:dyDescent="0.3">
      <c r="A10" s="2"/>
      <c r="B10" s="5" t="s">
        <v>26</v>
      </c>
      <c r="C10" s="2"/>
      <c r="D10" s="5"/>
      <c r="E10" s="5"/>
      <c r="F10" s="28"/>
      <c r="G10" s="5"/>
      <c r="H10" s="5"/>
      <c r="I10" s="5"/>
      <c r="J10" s="5"/>
      <c r="K10" s="28"/>
      <c r="L10" s="5"/>
      <c r="M10" s="5"/>
      <c r="N10" s="5"/>
      <c r="O10" s="2"/>
      <c r="P10" s="127" t="s">
        <v>27</v>
      </c>
      <c r="Q10" s="128"/>
      <c r="R10" s="129"/>
    </row>
    <row r="11" spans="1:18" ht="16.2" thickBot="1" x14ac:dyDescent="0.35">
      <c r="A11" s="2"/>
      <c r="B11" s="5" t="s">
        <v>20</v>
      </c>
      <c r="C11" s="2"/>
      <c r="D11" s="5" t="s">
        <v>21</v>
      </c>
      <c r="E11" s="5"/>
      <c r="F11" s="28"/>
      <c r="G11" s="5" t="s">
        <v>22</v>
      </c>
      <c r="H11" s="5"/>
      <c r="I11" s="5"/>
      <c r="J11" s="5" t="s">
        <v>28</v>
      </c>
      <c r="K11" s="28"/>
      <c r="L11" s="5"/>
      <c r="M11" s="5" t="s">
        <v>24</v>
      </c>
      <c r="N11" s="5"/>
      <c r="O11" s="2"/>
      <c r="P11" s="130"/>
      <c r="Q11" s="131"/>
      <c r="R11" s="132"/>
    </row>
    <row r="12" spans="1:18" ht="16.2" thickBot="1" x14ac:dyDescent="0.35">
      <c r="A12" s="2"/>
      <c r="B12" s="29">
        <v>40</v>
      </c>
      <c r="C12" s="5" t="s">
        <v>25</v>
      </c>
      <c r="D12" s="5">
        <f>B12*451</f>
        <v>18040</v>
      </c>
      <c r="E12" s="5" t="s">
        <v>8</v>
      </c>
      <c r="F12" s="28"/>
      <c r="G12" s="32">
        <f>(D12/170)*100</f>
        <v>10611.764705882353</v>
      </c>
      <c r="H12" s="5" t="s">
        <v>8</v>
      </c>
      <c r="I12" s="5"/>
      <c r="J12" s="5">
        <f>G12*3.4</f>
        <v>36080</v>
      </c>
      <c r="K12" s="28" t="s">
        <v>8</v>
      </c>
      <c r="L12" s="5"/>
      <c r="M12" s="32">
        <f>G12*0.7</f>
        <v>7428.2352941176468</v>
      </c>
      <c r="N12" s="5" t="s">
        <v>8</v>
      </c>
      <c r="O12" s="2"/>
      <c r="P12" s="133"/>
      <c r="Q12" s="134"/>
      <c r="R12" s="135"/>
    </row>
    <row r="13" spans="1:18" ht="15.6" x14ac:dyDescent="0.3">
      <c r="A13" s="2"/>
      <c r="B13" s="2"/>
      <c r="C13" s="2"/>
      <c r="D13" s="2"/>
      <c r="E13" s="2"/>
      <c r="F13" s="27"/>
      <c r="G13" s="2"/>
      <c r="H13" s="2"/>
      <c r="I13" s="2"/>
      <c r="J13" s="2"/>
      <c r="K13" s="27"/>
      <c r="L13" s="2"/>
      <c r="M13" s="2"/>
      <c r="N13" s="2"/>
      <c r="O13" s="2"/>
      <c r="P13" s="2"/>
      <c r="Q13" s="2"/>
      <c r="R13" s="2"/>
    </row>
    <row r="14" spans="1:18" ht="15.6" x14ac:dyDescent="0.3">
      <c r="A14" s="2"/>
      <c r="B14" s="30"/>
      <c r="C14" s="30"/>
      <c r="D14" s="30"/>
      <c r="E14" s="30"/>
      <c r="F14" s="33"/>
      <c r="G14" s="30"/>
      <c r="H14" s="30"/>
      <c r="I14" s="30"/>
      <c r="J14" s="30"/>
      <c r="K14" s="33"/>
      <c r="L14" s="30"/>
      <c r="M14" s="30"/>
      <c r="N14" s="30"/>
      <c r="O14" s="2"/>
      <c r="P14" s="2"/>
      <c r="Q14" s="2"/>
      <c r="R14" s="2"/>
    </row>
    <row r="15" spans="1:18" ht="15.6" x14ac:dyDescent="0.3">
      <c r="A15" s="2"/>
      <c r="B15" s="2"/>
      <c r="C15" s="2"/>
      <c r="D15" s="2"/>
      <c r="E15" s="2"/>
      <c r="F15" s="27"/>
      <c r="G15" s="2"/>
      <c r="H15" s="2"/>
      <c r="I15" s="2"/>
      <c r="J15" s="2"/>
      <c r="K15" s="27"/>
      <c r="L15" s="2"/>
      <c r="M15" s="2"/>
      <c r="N15" s="2"/>
      <c r="O15" s="2"/>
      <c r="P15" s="2"/>
      <c r="Q15" s="2"/>
      <c r="R15" s="2"/>
    </row>
    <row r="16" spans="1:18" ht="15.6" x14ac:dyDescent="0.3">
      <c r="A16" s="2"/>
      <c r="B16" s="2" t="s">
        <v>29</v>
      </c>
      <c r="C16" s="2"/>
      <c r="D16" s="2"/>
      <c r="E16" s="2"/>
      <c r="F16" s="27"/>
      <c r="G16" s="2"/>
      <c r="H16" s="2"/>
      <c r="I16" s="2"/>
      <c r="J16" s="2"/>
      <c r="K16" s="27"/>
      <c r="L16" s="2"/>
      <c r="M16" s="2"/>
      <c r="N16" s="2"/>
      <c r="O16" s="2"/>
      <c r="P16" s="2"/>
      <c r="Q16" s="2"/>
      <c r="R16" s="2"/>
    </row>
    <row r="17" spans="1:18" ht="16.2" thickBot="1" x14ac:dyDescent="0.35">
      <c r="A17" s="2"/>
      <c r="B17" s="2" t="s">
        <v>20</v>
      </c>
      <c r="C17" s="2"/>
      <c r="D17" s="2" t="s">
        <v>30</v>
      </c>
      <c r="E17" s="2"/>
      <c r="F17" s="27"/>
      <c r="G17" s="5" t="s">
        <v>22</v>
      </c>
      <c r="H17" s="5"/>
      <c r="I17" s="5"/>
      <c r="J17" s="5" t="s">
        <v>31</v>
      </c>
      <c r="K17" s="28"/>
      <c r="L17" s="2"/>
      <c r="M17" s="5" t="s">
        <v>24</v>
      </c>
      <c r="N17" s="5"/>
      <c r="O17" s="2"/>
      <c r="P17" s="2"/>
      <c r="Q17" s="2"/>
      <c r="R17" s="2"/>
    </row>
    <row r="18" spans="1:18" ht="16.2" thickBot="1" x14ac:dyDescent="0.35">
      <c r="A18" s="2"/>
      <c r="B18" s="29">
        <v>1</v>
      </c>
      <c r="C18" s="2" t="s">
        <v>32</v>
      </c>
      <c r="D18" s="2">
        <f>B18*100</f>
        <v>100</v>
      </c>
      <c r="E18" s="2" t="s">
        <v>8</v>
      </c>
      <c r="F18" s="27"/>
      <c r="G18" s="5">
        <f>(D18/160)*100</f>
        <v>62.5</v>
      </c>
      <c r="H18" s="5" t="s">
        <v>8</v>
      </c>
      <c r="I18" s="5"/>
      <c r="J18" s="5">
        <f>D18/20</f>
        <v>5</v>
      </c>
      <c r="K18" s="28" t="s">
        <v>8</v>
      </c>
      <c r="L18" s="2"/>
      <c r="M18" s="32">
        <f>G18*0.6</f>
        <v>37.5</v>
      </c>
      <c r="N18" s="5" t="s">
        <v>8</v>
      </c>
      <c r="O18" s="2"/>
      <c r="P18" s="2"/>
      <c r="Q18" s="2"/>
      <c r="R18" s="2"/>
    </row>
    <row r="19" spans="1:18" ht="15.6" x14ac:dyDescent="0.3">
      <c r="A19" s="2"/>
      <c r="B19" s="2"/>
      <c r="C19" s="2"/>
      <c r="D19" s="2"/>
      <c r="E19" s="2"/>
      <c r="F19" s="27"/>
      <c r="G19" s="2"/>
      <c r="H19" s="2"/>
      <c r="I19" s="2"/>
      <c r="J19" s="2"/>
      <c r="K19" s="27"/>
      <c r="L19" s="2"/>
      <c r="M19" s="2"/>
      <c r="N19" s="2"/>
      <c r="O19" s="2"/>
      <c r="P19" s="2"/>
      <c r="Q19" s="2"/>
      <c r="R19" s="2"/>
    </row>
  </sheetData>
  <mergeCells count="1">
    <mergeCell ref="P10:R1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20DA0-F31D-42DC-BADE-3CEFD2976CDA}">
  <dimension ref="A1:AE26"/>
  <sheetViews>
    <sheetView topLeftCell="A5" zoomScaleNormal="100" workbookViewId="0">
      <selection activeCell="B12" sqref="B12:K14"/>
    </sheetView>
  </sheetViews>
  <sheetFormatPr defaultColWidth="9.109375" defaultRowHeight="13.8" x14ac:dyDescent="0.25"/>
  <cols>
    <col min="1" max="1" width="9.109375" style="40"/>
    <col min="2" max="2" width="17.109375" style="40" customWidth="1"/>
    <col min="3" max="4" width="5.44140625" style="40" customWidth="1"/>
    <col min="5" max="5" width="18.5546875" style="40" customWidth="1"/>
    <col min="6" max="6" width="5" style="40" customWidth="1"/>
    <col min="7" max="7" width="14.6640625" style="40" customWidth="1"/>
    <col min="8" max="9" width="4.109375" style="40" customWidth="1"/>
    <col min="10" max="10" width="19.88671875" style="40" customWidth="1"/>
    <col min="11" max="11" width="4.44140625" style="40" customWidth="1"/>
    <col min="12" max="12" width="9.109375" style="40"/>
    <col min="13" max="13" width="13.44140625" style="41" customWidth="1"/>
    <col min="14" max="14" width="8.77734375" style="40" customWidth="1"/>
    <col min="15" max="15" width="6.77734375" style="40" customWidth="1"/>
    <col min="16" max="16" width="5.33203125" style="40" customWidth="1"/>
    <col min="17" max="17" width="9.5546875" style="40" customWidth="1"/>
    <col min="18" max="16384" width="9.109375" style="40"/>
  </cols>
  <sheetData>
    <row r="1" spans="1:17" ht="27.6" x14ac:dyDescent="0.45">
      <c r="A1" s="1" t="s">
        <v>74</v>
      </c>
      <c r="J1" s="56">
        <v>44224</v>
      </c>
    </row>
    <row r="3" spans="1:17" x14ac:dyDescent="0.25">
      <c r="A3" s="55"/>
      <c r="B3" s="136" t="s">
        <v>94</v>
      </c>
      <c r="C3" s="136"/>
      <c r="D3" s="136"/>
      <c r="E3" s="136"/>
      <c r="F3" s="136"/>
      <c r="G3" s="136"/>
      <c r="H3" s="136"/>
      <c r="I3" s="136"/>
      <c r="J3" s="136"/>
      <c r="K3" s="136"/>
    </row>
    <row r="4" spans="1:17" x14ac:dyDescent="0.25">
      <c r="A4" s="55"/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7" x14ac:dyDescent="0.25">
      <c r="A5" s="55"/>
      <c r="B5" s="136"/>
      <c r="C5" s="136"/>
      <c r="D5" s="136"/>
      <c r="E5" s="136"/>
      <c r="F5" s="136"/>
      <c r="G5" s="136"/>
      <c r="H5" s="136"/>
      <c r="I5" s="136"/>
      <c r="J5" s="136"/>
      <c r="K5" s="136"/>
    </row>
    <row r="6" spans="1:17" ht="14.4" thickBot="1" x14ac:dyDescent="0.3">
      <c r="M6" s="70" t="s">
        <v>83</v>
      </c>
      <c r="N6" s="71"/>
      <c r="O6" s="71"/>
      <c r="P6" s="71"/>
      <c r="Q6" s="71"/>
    </row>
    <row r="7" spans="1:17" ht="54" customHeight="1" x14ac:dyDescent="0.3">
      <c r="B7" s="146" t="s">
        <v>62</v>
      </c>
      <c r="C7" s="147"/>
      <c r="D7" s="42"/>
      <c r="E7" s="43" t="s">
        <v>68</v>
      </c>
      <c r="F7" s="42"/>
      <c r="G7" s="147" t="s">
        <v>22</v>
      </c>
      <c r="H7" s="147"/>
      <c r="I7" s="48"/>
      <c r="J7" s="147" t="s">
        <v>63</v>
      </c>
      <c r="K7" s="148"/>
      <c r="M7" s="72" t="s">
        <v>69</v>
      </c>
      <c r="N7" s="73" t="s">
        <v>70</v>
      </c>
      <c r="O7" s="73" t="s">
        <v>71</v>
      </c>
      <c r="P7" s="73"/>
      <c r="Q7" s="74" t="s">
        <v>72</v>
      </c>
    </row>
    <row r="8" spans="1:17" ht="33" thickBot="1" x14ac:dyDescent="0.6">
      <c r="B8" s="57">
        <v>1000</v>
      </c>
      <c r="C8" s="44" t="s">
        <v>8</v>
      </c>
      <c r="D8" s="44"/>
      <c r="E8" s="46" t="s">
        <v>66</v>
      </c>
      <c r="F8" s="44"/>
      <c r="G8" s="47">
        <f>VLOOKUP(E8,M8:O11,2,FALSE)</f>
        <v>625</v>
      </c>
      <c r="H8" s="44" t="s">
        <v>8</v>
      </c>
      <c r="I8" s="44"/>
      <c r="J8" s="47">
        <f>VLOOKUP(E8,M8:O11,3,FALSE)</f>
        <v>375</v>
      </c>
      <c r="K8" s="45" t="s">
        <v>8</v>
      </c>
      <c r="M8" s="75" t="s">
        <v>64</v>
      </c>
      <c r="N8" s="76">
        <f>B8/170*100</f>
        <v>588.23529411764707</v>
      </c>
      <c r="O8" s="76">
        <f>B8/170*70</f>
        <v>411.76470588235298</v>
      </c>
      <c r="P8" s="76"/>
      <c r="Q8" s="77">
        <f>SUM(N8:O8)</f>
        <v>1000</v>
      </c>
    </row>
    <row r="9" spans="1:17" x14ac:dyDescent="0.25">
      <c r="E9" s="41"/>
      <c r="M9" s="75" t="s">
        <v>65</v>
      </c>
      <c r="N9" s="76">
        <f>B8/165*100</f>
        <v>606.06060606060601</v>
      </c>
      <c r="O9" s="76">
        <f>$B$8/165*65</f>
        <v>393.93939393939394</v>
      </c>
      <c r="P9" s="76"/>
      <c r="Q9" s="77">
        <f>SUM(N9:O9)</f>
        <v>1000</v>
      </c>
    </row>
    <row r="10" spans="1:17" x14ac:dyDescent="0.25">
      <c r="E10" s="41"/>
      <c r="M10" s="75" t="s">
        <v>66</v>
      </c>
      <c r="N10" s="76">
        <f>B8/8*5</f>
        <v>625</v>
      </c>
      <c r="O10" s="76">
        <f>$B$8/8*3</f>
        <v>375</v>
      </c>
      <c r="P10" s="76"/>
      <c r="Q10" s="77">
        <f t="shared" ref="Q10:Q11" si="0">SUM(N10:O10)</f>
        <v>1000</v>
      </c>
    </row>
    <row r="11" spans="1:17" x14ac:dyDescent="0.25">
      <c r="E11" s="41"/>
      <c r="M11" s="75" t="s">
        <v>67</v>
      </c>
      <c r="N11" s="76">
        <f>B8/3*2</f>
        <v>666.66666666666663</v>
      </c>
      <c r="O11" s="76">
        <f>$B$8/3*1</f>
        <v>333.33333333333331</v>
      </c>
      <c r="P11" s="76"/>
      <c r="Q11" s="77">
        <f t="shared" si="0"/>
        <v>1000</v>
      </c>
    </row>
    <row r="12" spans="1:17" x14ac:dyDescent="0.25">
      <c r="A12" s="55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M12" s="75"/>
      <c r="N12" s="76"/>
      <c r="O12" s="76"/>
      <c r="P12" s="76"/>
      <c r="Q12" s="77"/>
    </row>
    <row r="13" spans="1:17" x14ac:dyDescent="0.25">
      <c r="A13" s="55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M13" s="75"/>
      <c r="N13" s="76"/>
      <c r="O13" s="76"/>
      <c r="P13" s="76"/>
      <c r="Q13" s="77"/>
    </row>
    <row r="14" spans="1:17" x14ac:dyDescent="0.25">
      <c r="A14" s="55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M14" s="75"/>
      <c r="N14" s="76"/>
      <c r="O14" s="76"/>
      <c r="P14" s="76"/>
      <c r="Q14" s="77"/>
    </row>
    <row r="15" spans="1:17" ht="14.4" thickBot="1" x14ac:dyDescent="0.3">
      <c r="M15" s="75"/>
      <c r="N15" s="76"/>
      <c r="O15" s="76"/>
      <c r="P15" s="76"/>
      <c r="Q15" s="77"/>
    </row>
    <row r="16" spans="1:17" ht="15" customHeight="1" x14ac:dyDescent="0.3">
      <c r="B16" s="146" t="s">
        <v>73</v>
      </c>
      <c r="C16" s="147"/>
      <c r="D16" s="50"/>
      <c r="E16" s="152" t="s">
        <v>68</v>
      </c>
      <c r="F16" s="42"/>
      <c r="G16" s="147" t="s">
        <v>63</v>
      </c>
      <c r="H16" s="147"/>
      <c r="I16" s="49"/>
      <c r="J16" s="147" t="s">
        <v>62</v>
      </c>
      <c r="K16" s="148"/>
      <c r="M16" s="75" t="s">
        <v>69</v>
      </c>
      <c r="N16" s="76" t="s">
        <v>72</v>
      </c>
      <c r="O16" s="76" t="s">
        <v>71</v>
      </c>
      <c r="P16" s="76"/>
      <c r="Q16" s="77" t="s">
        <v>70</v>
      </c>
    </row>
    <row r="17" spans="2:31" ht="32.25" customHeight="1" x14ac:dyDescent="0.3">
      <c r="B17" s="149"/>
      <c r="C17" s="150"/>
      <c r="D17" s="4"/>
      <c r="E17" s="153"/>
      <c r="F17" s="4"/>
      <c r="G17" s="150"/>
      <c r="H17" s="150"/>
      <c r="I17" s="51"/>
      <c r="J17" s="150"/>
      <c r="K17" s="151"/>
      <c r="M17" s="75" t="s">
        <v>64</v>
      </c>
      <c r="N17" s="76">
        <f>170*B18/100</f>
        <v>850</v>
      </c>
      <c r="O17" s="76">
        <f>70*B18/100</f>
        <v>350</v>
      </c>
      <c r="P17" s="76"/>
      <c r="Q17" s="77">
        <f>N17-O17</f>
        <v>500</v>
      </c>
      <c r="V17" s="55"/>
      <c r="W17" s="55"/>
      <c r="X17" s="55"/>
      <c r="Y17" s="55"/>
      <c r="Z17" s="55"/>
      <c r="AA17" s="55"/>
      <c r="AB17" s="55"/>
      <c r="AC17" s="55"/>
      <c r="AD17" s="55"/>
      <c r="AE17" s="55"/>
    </row>
    <row r="18" spans="2:31" ht="33" thickBot="1" x14ac:dyDescent="0.6">
      <c r="B18" s="58">
        <v>500</v>
      </c>
      <c r="C18" s="44" t="s">
        <v>8</v>
      </c>
      <c r="D18" s="44"/>
      <c r="E18" s="52" t="s">
        <v>66</v>
      </c>
      <c r="F18" s="44"/>
      <c r="G18" s="53">
        <f>VLOOKUP(E18,M17:O20,3,FALSE)</f>
        <v>300</v>
      </c>
      <c r="H18" s="44" t="s">
        <v>8</v>
      </c>
      <c r="I18" s="44"/>
      <c r="J18" s="54">
        <f>VLOOKUP(E18,M17:O20,2,FALSE)</f>
        <v>800</v>
      </c>
      <c r="K18" s="45" t="s">
        <v>8</v>
      </c>
      <c r="M18" s="75" t="s">
        <v>65</v>
      </c>
      <c r="N18" s="76">
        <f>165*B18/100</f>
        <v>825</v>
      </c>
      <c r="O18" s="76">
        <f>65*B18/100</f>
        <v>325</v>
      </c>
      <c r="P18" s="76"/>
      <c r="Q18" s="77">
        <f t="shared" ref="Q18:Q20" si="1">N18-O18</f>
        <v>500</v>
      </c>
      <c r="V18" s="55"/>
      <c r="W18" s="55"/>
      <c r="X18" s="55"/>
      <c r="Y18" s="55"/>
      <c r="Z18" s="55"/>
      <c r="AA18" s="55"/>
      <c r="AB18" s="55"/>
      <c r="AC18" s="55"/>
      <c r="AD18" s="55"/>
      <c r="AE18" s="55"/>
    </row>
    <row r="19" spans="2:31" x14ac:dyDescent="0.25">
      <c r="M19" s="75" t="s">
        <v>66</v>
      </c>
      <c r="N19" s="76">
        <f>(8*B18/5)</f>
        <v>800</v>
      </c>
      <c r="O19" s="76">
        <f>3*B18/5</f>
        <v>300</v>
      </c>
      <c r="P19" s="76"/>
      <c r="Q19" s="77">
        <f t="shared" si="1"/>
        <v>500</v>
      </c>
      <c r="V19" s="55"/>
      <c r="W19" s="55"/>
      <c r="X19" s="55"/>
      <c r="Y19" s="55"/>
      <c r="Z19" s="55"/>
      <c r="AA19" s="55"/>
      <c r="AB19" s="55"/>
      <c r="AC19" s="55"/>
      <c r="AD19" s="55"/>
      <c r="AE19" s="55"/>
    </row>
    <row r="20" spans="2:31" ht="14.4" thickBot="1" x14ac:dyDescent="0.3">
      <c r="M20" s="78" t="s">
        <v>67</v>
      </c>
      <c r="N20" s="79">
        <f>3*B18/2</f>
        <v>750</v>
      </c>
      <c r="O20" s="79">
        <f>1*B18/2</f>
        <v>250</v>
      </c>
      <c r="P20" s="79"/>
      <c r="Q20" s="80">
        <f t="shared" si="1"/>
        <v>500</v>
      </c>
    </row>
    <row r="21" spans="2:31" ht="14.4" thickBot="1" x14ac:dyDescent="0.3"/>
    <row r="22" spans="2:31" x14ac:dyDescent="0.25">
      <c r="B22" s="137" t="s">
        <v>92</v>
      </c>
      <c r="C22" s="138"/>
      <c r="D22" s="138"/>
      <c r="E22" s="138"/>
      <c r="F22" s="138"/>
      <c r="G22" s="138"/>
      <c r="H22" s="138"/>
      <c r="I22" s="138"/>
      <c r="J22" s="138"/>
      <c r="K22" s="139"/>
    </row>
    <row r="23" spans="2:31" x14ac:dyDescent="0.25">
      <c r="B23" s="140"/>
      <c r="C23" s="141"/>
      <c r="D23" s="141"/>
      <c r="E23" s="141"/>
      <c r="F23" s="141"/>
      <c r="G23" s="141"/>
      <c r="H23" s="141"/>
      <c r="I23" s="141"/>
      <c r="J23" s="141"/>
      <c r="K23" s="142"/>
    </row>
    <row r="24" spans="2:31" x14ac:dyDescent="0.25">
      <c r="B24" s="140"/>
      <c r="C24" s="141"/>
      <c r="D24" s="141"/>
      <c r="E24" s="141"/>
      <c r="F24" s="141"/>
      <c r="G24" s="141"/>
      <c r="H24" s="141"/>
      <c r="I24" s="141"/>
      <c r="J24" s="141"/>
      <c r="K24" s="142"/>
    </row>
    <row r="25" spans="2:31" x14ac:dyDescent="0.25">
      <c r="B25" s="140"/>
      <c r="C25" s="141"/>
      <c r="D25" s="141"/>
      <c r="E25" s="141"/>
      <c r="F25" s="141"/>
      <c r="G25" s="141"/>
      <c r="H25" s="141"/>
      <c r="I25" s="141"/>
      <c r="J25" s="141"/>
      <c r="K25" s="142"/>
    </row>
    <row r="26" spans="2:31" ht="14.4" thickBot="1" x14ac:dyDescent="0.3">
      <c r="B26" s="143"/>
      <c r="C26" s="144"/>
      <c r="D26" s="144"/>
      <c r="E26" s="144"/>
      <c r="F26" s="144"/>
      <c r="G26" s="144"/>
      <c r="H26" s="144"/>
      <c r="I26" s="144"/>
      <c r="J26" s="144"/>
      <c r="K26" s="145"/>
    </row>
  </sheetData>
  <mergeCells count="10">
    <mergeCell ref="B3:K5"/>
    <mergeCell ref="B12:K14"/>
    <mergeCell ref="B22:K26"/>
    <mergeCell ref="B7:C7"/>
    <mergeCell ref="G7:H7"/>
    <mergeCell ref="J7:K7"/>
    <mergeCell ref="B16:C17"/>
    <mergeCell ref="G16:H17"/>
    <mergeCell ref="J16:K17"/>
    <mergeCell ref="E16:E17"/>
  </mergeCells>
  <dataValidations count="2">
    <dataValidation type="list" allowBlank="1" showInputMessage="1" showErrorMessage="1" sqref="E8" xr:uid="{D68A5158-2930-4F78-9E73-F5784BCCE6B2}">
      <formula1>$M$8:$M$11</formula1>
    </dataValidation>
    <dataValidation type="list" allowBlank="1" showInputMessage="1" showErrorMessage="1" sqref="E18" xr:uid="{31A01FD8-C521-4B59-B606-943DFA9C7ACA}">
      <formula1>$M$17:$M$20</formula1>
    </dataValidation>
  </dataValidation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D117D-7D84-49A8-AA8C-444D2681DDDE}">
  <dimension ref="B2:C9"/>
  <sheetViews>
    <sheetView workbookViewId="0">
      <selection activeCell="G24" sqref="G24"/>
    </sheetView>
  </sheetViews>
  <sheetFormatPr defaultRowHeight="14.4" x14ac:dyDescent="0.3"/>
  <cols>
    <col min="2" max="2" width="10.109375" bestFit="1" customWidth="1"/>
  </cols>
  <sheetData>
    <row r="2" spans="2:3" x14ac:dyDescent="0.3">
      <c r="B2" s="66">
        <v>44224</v>
      </c>
      <c r="C2" t="s">
        <v>86</v>
      </c>
    </row>
    <row r="3" spans="2:3" x14ac:dyDescent="0.3">
      <c r="B3" s="66">
        <v>44314</v>
      </c>
      <c r="C3" t="s">
        <v>89</v>
      </c>
    </row>
    <row r="4" spans="2:3" x14ac:dyDescent="0.3">
      <c r="C4" t="s">
        <v>87</v>
      </c>
    </row>
    <row r="5" spans="2:3" x14ac:dyDescent="0.3">
      <c r="C5" t="s">
        <v>88</v>
      </c>
    </row>
    <row r="6" spans="2:3" x14ac:dyDescent="0.3">
      <c r="B6" s="66">
        <v>44496</v>
      </c>
      <c r="C6" t="s">
        <v>93</v>
      </c>
    </row>
    <row r="7" spans="2:3" x14ac:dyDescent="0.3">
      <c r="B7" s="66">
        <v>44729</v>
      </c>
      <c r="C7" t="s">
        <v>101</v>
      </c>
    </row>
    <row r="8" spans="2:3" x14ac:dyDescent="0.3">
      <c r="C8" t="s">
        <v>102</v>
      </c>
    </row>
    <row r="9" spans="2:3" x14ac:dyDescent="0.3">
      <c r="C9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1</vt:i4>
      </vt:variant>
    </vt:vector>
  </HeadingPairs>
  <TitlesOfParts>
    <vt:vector size="7" baseType="lpstr">
      <vt:lpstr>Haitta-aineiden hallinta 0,8mm</vt:lpstr>
      <vt:lpstr>Ilmavuototiivistys 0,5mm</vt:lpstr>
      <vt:lpstr>Vesieristys 0,45mm</vt:lpstr>
      <vt:lpstr>Karhennus</vt:lpstr>
      <vt:lpstr>Sekoitussuhteet</vt:lpstr>
      <vt:lpstr>versiohistoria</vt:lpstr>
      <vt:lpstr>Sekoitussuhteet!Tulostusalue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Tuukka</dc:creator>
  <cp:lastModifiedBy>Tuukka Tahvanainen</cp:lastModifiedBy>
  <dcterms:created xsi:type="dcterms:W3CDTF">2021-01-27T10:31:49Z</dcterms:created>
  <dcterms:modified xsi:type="dcterms:W3CDTF">2023-01-05T16:10:34Z</dcterms:modified>
</cp:coreProperties>
</file>